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Durkin\Dropbox\Karnan Admin\TRE 2016\"/>
    </mc:Choice>
  </mc:AlternateContent>
  <bookViews>
    <workbookView xWindow="-10" yWindow="50" windowWidth="23060" windowHeight="5060" activeTab="2"/>
  </bookViews>
  <sheets>
    <sheet name="Profit and Loss Statement" sheetId="1" r:id="rId1"/>
    <sheet name="Balance Sheet" sheetId="4" r:id="rId2"/>
    <sheet name="Statement of Cash Flows" sheetId="3" r:id="rId3"/>
  </sheets>
  <definedNames>
    <definedName name="_xlnm.Print_Titles" localSheetId="1">'Balance Sheet'!$A:$E,'Balance Sheet'!$4:$5</definedName>
    <definedName name="_xlnm.Print_Titles" localSheetId="0">'Profit and Loss Statement'!$A:$F,'Profit and Loss Statement'!$4:$5</definedName>
    <definedName name="QB_COLUMN_59200" localSheetId="1" hidden="1">'Balance Sheet'!$F$5</definedName>
    <definedName name="QB_COLUMN_59200" localSheetId="0" hidden="1">'Profit and Loss Statement'!$G$5</definedName>
    <definedName name="QB_COLUMN_61210" localSheetId="1" hidden="1">'Balance Sheet'!$G$5</definedName>
    <definedName name="QB_COLUMN_61210" localSheetId="0" hidden="1">'Profit and Loss Statement'!$H$5</definedName>
    <definedName name="QB_COLUMN_63620" localSheetId="1" hidden="1">'Balance Sheet'!$H$5</definedName>
    <definedName name="QB_COLUMN_63620" localSheetId="0" hidden="1">'Profit and Loss Statement'!$I$5</definedName>
    <definedName name="QB_COLUMN_64830" localSheetId="1" hidden="1">'Balance Sheet'!$I$5</definedName>
    <definedName name="QB_DATA_0" localSheetId="1" hidden="1">'Balance Sheet'!$9:$9,'Balance Sheet'!$10:$10,'Balance Sheet'!$11:$11,'Balance Sheet'!$12:$12,'Balance Sheet'!$13:$13,'Balance Sheet'!$15:$15,'Balance Sheet'!$18:$18,'Balance Sheet'!$19:$19,'Balance Sheet'!$23:$23,'Balance Sheet'!$24:$24,'Balance Sheet'!$25:$25,'Balance Sheet'!$26:$26,'Balance Sheet'!$27:$27,'Balance Sheet'!$34:$34,'Balance Sheet'!$37:$37,'Balance Sheet'!$40:$40</definedName>
    <definedName name="QB_DATA_0" localSheetId="0" hidden="1">'Profit and Loss Statement'!$8:$8,'Profit and Loss Statement'!$9:$9,'Profit and Loss Statement'!$10:$10,'Profit and Loss Statement'!$11:$11,'Profit and Loss Statement'!$12:$12,'Profit and Loss Statement'!$13:$13,'Profit and Loss Statement'!$14:$14,'Profit and Loss Statement'!$15:$15,'Profit and Loss Statement'!$18:$18,'Profit and Loss Statement'!$19:$19,'Profit and Loss Statement'!$20:$20,'Profit and Loss Statement'!$21:$21,'Profit and Loss Statement'!$25:$25,'Profit and Loss Statement'!$26:$26,'Profit and Loss Statement'!$28:$28,'Profit and Loss Statement'!$29:$29</definedName>
    <definedName name="QB_DATA_1" localSheetId="1" hidden="1">'Balance Sheet'!$41:$41,'Balance Sheet'!$42:$42,'Balance Sheet'!$43:$43,'Balance Sheet'!$44:$44,'Balance Sheet'!$45:$45,'Balance Sheet'!$50:$50,'Balance Sheet'!$51:$51,'Balance Sheet'!$52:$52,'Balance Sheet'!$53:$53,'Balance Sheet'!$54:$54</definedName>
    <definedName name="QB_DATA_1" localSheetId="0" hidden="1">'Profit and Loss Statement'!$30:$30,'Profit and Loss Statement'!$31:$31,'Profit and Loss Statement'!$34:$34,'Profit and Loss Statement'!$35:$35,'Profit and Loss Statement'!$36:$36,'Profit and Loss Statement'!$37:$37,'Profit and Loss Statement'!$38:$38,'Profit and Loss Statement'!$39:$39,'Profit and Loss Statement'!$40:$40,'Profit and Loss Statement'!$43:$43,'Profit and Loss Statement'!$44:$44,'Profit and Loss Statement'!$45:$45,'Profit and Loss Statement'!$46:$46,'Profit and Loss Statement'!$48:$48,'Profit and Loss Statement'!$49:$49,'Profit and Loss Statement'!$50:$50</definedName>
    <definedName name="QB_DATA_2" localSheetId="0" hidden="1">'Profit and Loss Statement'!$52:$52,'Profit and Loss Statement'!$53:$53,'Profit and Loss Statement'!$54:$54,'Profit and Loss Statement'!$55:$55,'Profit and Loss Statement'!$57:$57,'Profit and Loss Statement'!$58:$58,'Profit and Loss Statement'!#REF!,'Profit and Loss Statement'!#REF!,'Profit and Loss Statement'!$61:$61,'Profit and Loss Statement'!#REF!,'Profit and Loss Statement'!$62:$62,'Profit and Loss Statement'!$63:$63,'Profit and Loss Statement'!$64:$64,'Profit and Loss Statement'!$65:$65,'Profit and Loss Statement'!$67:$67,'Profit and Loss Statement'!$68:$68</definedName>
    <definedName name="QB_DATA_3" localSheetId="0" hidden="1">'Profit and Loss Statement'!$69:$69,'Profit and Loss Statement'!$71:$71,'Profit and Loss Statement'!$72:$72,'Profit and Loss Statement'!#REF!,'Profit and Loss Statement'!#REF!,'Profit and Loss Statement'!$74:$74,'Profit and Loss Statement'!$75:$75,'Profit and Loss Statement'!$77:$77,'Profit and Loss Statement'!$78:$78,'Profit and Loss Statement'!$83:$83,'Profit and Loss Statement'!$84:$84,'Profit and Loss Statement'!$87:$87,'Profit and Loss Statement'!$89:$89</definedName>
    <definedName name="QB_FORMULA_0" localSheetId="1" hidden="1">'Balance Sheet'!$H$9,'Balance Sheet'!$I$9,'Balance Sheet'!$H$10,'Balance Sheet'!$I$10,'Balance Sheet'!#REF!,'Balance Sheet'!#REF!,'Balance Sheet'!$H$11,'Balance Sheet'!$I$11,'Balance Sheet'!#REF!,'Balance Sheet'!#REF!,'Balance Sheet'!$F$12,'Balance Sheet'!$G$12,'Balance Sheet'!$H$12,'Balance Sheet'!$I$12,'Balance Sheet'!$H$15,'Balance Sheet'!$I$15</definedName>
    <definedName name="QB_FORMULA_0" localSheetId="0" hidden="1">'Profit and Loss Statement'!$I$8,'Profit and Loss Statement'!$I$9,'Profit and Loss Statement'!$I$10,'Profit and Loss Statement'!$I$11,'Profit and Loss Statement'!#REF!,'Profit and Loss Statement'!#REF!,'Profit and Loss Statement'!$I$12,'Profit and Loss Statement'!$I$13,'Profit and Loss Statement'!$G$14,'Profit and Loss Statement'!$H$14,'Profit and Loss Statement'!$I$14,'Profit and Loss Statement'!$I$18,'Profit and Loss Statement'!$I$19,'Profit and Loss Statement'!$I$20,'Profit and Loss Statement'!$I$21,'Profit and Loss Statement'!$G$22</definedName>
    <definedName name="QB_FORMULA_1" localSheetId="1" hidden="1">'Balance Sheet'!$F$16,'Balance Sheet'!$G$16,'Balance Sheet'!$H$16,'Balance Sheet'!$I$16,'Balance Sheet'!$H$18,'Balance Sheet'!$I$18,'Balance Sheet'!$H$19,'Balance Sheet'!$I$19,'Balance Sheet'!$F$20,'Balance Sheet'!$G$20,'Balance Sheet'!$H$20,'Balance Sheet'!$I$20,'Balance Sheet'!$F$21,'Balance Sheet'!$G$21,'Balance Sheet'!$H$21,'Balance Sheet'!$I$21</definedName>
    <definedName name="QB_FORMULA_1" localSheetId="0" hidden="1">'Profit and Loss Statement'!$H$22,'Profit and Loss Statement'!$I$22,'Profit and Loss Statement'!$G$23,'Profit and Loss Statement'!$H$23,'Profit and Loss Statement'!$I$23,'Profit and Loss Statement'!$I$25,'Profit and Loss Statement'!$I$26,'Profit and Loss Statement'!$I$28,'Profit and Loss Statement'!$I$29,'Profit and Loss Statement'!$I$30,'Profit and Loss Statement'!$I$31,'Profit and Loss Statement'!$G$32,'Profit and Loss Statement'!$H$32,'Profit and Loss Statement'!$I$32,'Profit and Loss Statement'!$I$34,'Profit and Loss Statement'!$I$35</definedName>
    <definedName name="QB_FORMULA_2" localSheetId="1" hidden="1">'Balance Sheet'!$H$23,'Balance Sheet'!$I$23,'Balance Sheet'!$H$24,'Balance Sheet'!$I$24,'Balance Sheet'!$H$25,'Balance Sheet'!$I$25,'Balance Sheet'!$H$26,'Balance Sheet'!$I$26,'Balance Sheet'!$H$27,'Balance Sheet'!$I$27,'Balance Sheet'!$F$28,'Balance Sheet'!$G$28,'Balance Sheet'!$H$28,'Balance Sheet'!$I$28,'Balance Sheet'!$F$29,'Balance Sheet'!$G$29</definedName>
    <definedName name="QB_FORMULA_2" localSheetId="0" hidden="1">'Profit and Loss Statement'!$I$36,'Profit and Loss Statement'!$I$37,'Profit and Loss Statement'!$I$38,'Profit and Loss Statement'!$I$39,'Profit and Loss Statement'!$I$40,'Profit and Loss Statement'!$G$41,'Profit and Loss Statement'!$H$41,'Profit and Loss Statement'!$I$41,'Profit and Loss Statement'!$I$43,'Profit and Loss Statement'!$I$44,'Profit and Loss Statement'!$I$45,'Profit and Loss Statement'!$I$46,'Profit and Loss Statement'!$G$47,'Profit and Loss Statement'!$H$47,'Profit and Loss Statement'!$I$47,'Profit and Loss Statement'!$I$48</definedName>
    <definedName name="QB_FORMULA_3" localSheetId="1" hidden="1">'Balance Sheet'!$H$29,'Balance Sheet'!$I$29,'Balance Sheet'!$H$34,'Balance Sheet'!$I$34,'Balance Sheet'!$F$35,'Balance Sheet'!$G$35,'Balance Sheet'!$H$35,'Balance Sheet'!$I$35,'Balance Sheet'!$H$37,'Balance Sheet'!$I$37,'Balance Sheet'!$F$38,'Balance Sheet'!$G$38,'Balance Sheet'!$H$38,'Balance Sheet'!$I$38,'Balance Sheet'!#REF!,'Balance Sheet'!#REF!</definedName>
    <definedName name="QB_FORMULA_3" localSheetId="0" hidden="1">'Profit and Loss Statement'!$I$49,'Profit and Loss Statement'!$I$50,'Profit and Loss Statement'!$I$52,'Profit and Loss Statement'!$I$53,'Profit and Loss Statement'!$I$54,'Profit and Loss Statement'!$I$55,'Profit and Loss Statement'!$G$56,'Profit and Loss Statement'!$H$56,'Profit and Loss Statement'!$I$56,'Profit and Loss Statement'!$I$57,'Profit and Loss Statement'!$I$58,'Profit and Loss Statement'!#REF!,'Profit and Loss Statement'!#REF!,'Profit and Loss Statement'!#REF!,'Profit and Loss Statement'!#REF!,'Profit and Loss Statement'!#REF!</definedName>
    <definedName name="QB_FORMULA_4" localSheetId="1" hidden="1">'Balance Sheet'!#REF!,'Balance Sheet'!#REF!,'Balance Sheet'!$H$40,'Balance Sheet'!$I$40,'Balance Sheet'!#REF!,'Balance Sheet'!#REF!,'Balance Sheet'!$H$41,'Balance Sheet'!$I$41,'Balance Sheet'!$H$42,'Balance Sheet'!$I$42,'Balance Sheet'!$F$43,'Balance Sheet'!$G$43,'Balance Sheet'!$H$43,'Balance Sheet'!$I$43,'Balance Sheet'!$F$44,'Balance Sheet'!$G$44</definedName>
    <definedName name="QB_FORMULA_4" localSheetId="0" hidden="1">'Profit and Loss Statement'!$I$61,'Profit and Loss Statement'!#REF!,'Profit and Loss Statement'!$I$62,'Profit and Loss Statement'!$I$63,'Profit and Loss Statement'!$I$64,'Profit and Loss Statement'!$I$65,'Profit and Loss Statement'!$I$67,'Profit and Loss Statement'!$I$68,'Profit and Loss Statement'!$I$69,'Profit and Loss Statement'!$G$70,'Profit and Loss Statement'!$H$70,'Profit and Loss Statement'!$I$70,'Profit and Loss Statement'!$I$71,'Profit and Loss Statement'!$I$72,'Profit and Loss Statement'!#REF!,'Profit and Loss Statement'!#REF!</definedName>
    <definedName name="QB_FORMULA_5" localSheetId="1" hidden="1">'Balance Sheet'!$H$44,'Balance Sheet'!$I$44,'Balance Sheet'!$F$48,'Balance Sheet'!$G$48,'Balance Sheet'!$H$48,'Balance Sheet'!$I$48,'Balance Sheet'!$H$50,'Balance Sheet'!$I$50,'Balance Sheet'!$H$51,'Balance Sheet'!$I$51,'Balance Sheet'!$H$52,'Balance Sheet'!$I$52,'Balance Sheet'!$H$53,'Balance Sheet'!$I$53,'Balance Sheet'!$H$54,'Balance Sheet'!$I$54</definedName>
    <definedName name="QB_FORMULA_5" localSheetId="0" hidden="1">'Profit and Loss Statement'!$I$74,'Profit and Loss Statement'!$I$75,'Profit and Loss Statement'!$G$76,'Profit and Loss Statement'!$H$76,'Profit and Loss Statement'!$I$76,'Profit and Loss Statement'!$I$77,'Profit and Loss Statement'!$I$78,'Profit and Loss Statement'!$G$79,'Profit and Loss Statement'!$H$79,'Profit and Loss Statement'!$I$79,'Profit and Loss Statement'!$G$80,'Profit and Loss Statement'!$H$80,'Profit and Loss Statement'!$I$80,'Profit and Loss Statement'!$I$83,'Profit and Loss Statement'!$I$84,'Profit and Loss Statement'!$G$85</definedName>
    <definedName name="QB_FORMULA_6" localSheetId="1" hidden="1">'Balance Sheet'!$F$55,'Balance Sheet'!$G$55,'Balance Sheet'!$H$55,'Balance Sheet'!$I$55,'Balance Sheet'!$F$56,'Balance Sheet'!$G$56,'Balance Sheet'!$H$56,'Balance Sheet'!$I$56</definedName>
    <definedName name="QB_FORMULA_6" localSheetId="0" hidden="1">'Profit and Loss Statement'!$H$85,'Profit and Loss Statement'!$I$85,'Profit and Loss Statement'!$I$87,'Profit and Loss Statement'!$I$89,'Profit and Loss Statement'!$G$90,'Profit and Loss Statement'!$H$90,'Profit and Loss Statement'!$I$90,'Profit and Loss Statement'!$G$91,'Profit and Loss Statement'!$H$91,'Profit and Loss Statement'!$I$91,'Profit and Loss Statement'!$G$92,'Profit and Loss Statement'!$H$92,'Profit and Loss Statement'!$I$92</definedName>
    <definedName name="QB_ROW_1" localSheetId="1" hidden="1">'Balance Sheet'!$A$6</definedName>
    <definedName name="QB_ROW_100250" localSheetId="0" hidden="1">'Profit and Loss Statement'!$F$29</definedName>
    <definedName name="QB_ROW_10031" localSheetId="1" hidden="1">'Balance Sheet'!$D$33</definedName>
    <definedName name="QB_ROW_1011" localSheetId="1" hidden="1">'Balance Sheet'!$B$7</definedName>
    <definedName name="QB_ROW_102240" localSheetId="1" hidden="1">'Balance Sheet'!#REF!</definedName>
    <definedName name="QB_ROW_10240" localSheetId="0" hidden="1">'Profit and Loss Statement'!$E$21</definedName>
    <definedName name="QB_ROW_10331" localSheetId="1" hidden="1">'Balance Sheet'!$D$35</definedName>
    <definedName name="QB_ROW_109250" localSheetId="0" hidden="1">'Profit and Loss Statement'!$F$35</definedName>
    <definedName name="QB_ROW_110240" localSheetId="0" hidden="1">'Profit and Loss Statement'!$E$10</definedName>
    <definedName name="QB_ROW_11031" localSheetId="1" hidden="1">'Balance Sheet'!$D$36</definedName>
    <definedName name="QB_ROW_11040" localSheetId="0" hidden="1">'Profit and Loss Statement'!$E$33</definedName>
    <definedName name="QB_ROW_111240" localSheetId="0" hidden="1">'Profit and Loss Statement'!#REF!</definedName>
    <definedName name="QB_ROW_112250" localSheetId="0" hidden="1">'Profit and Loss Statement'!$F$39</definedName>
    <definedName name="QB_ROW_11250" localSheetId="0" hidden="1">'Profit and Loss Statement'!$F$40</definedName>
    <definedName name="QB_ROW_113250" localSheetId="0" hidden="1">'Profit and Loss Statement'!$F$38</definedName>
    <definedName name="QB_ROW_11331" localSheetId="1" hidden="1">'Balance Sheet'!$D$38</definedName>
    <definedName name="QB_ROW_11340" localSheetId="0" hidden="1">'Profit and Loss Statement'!$E$41</definedName>
    <definedName name="QB_ROW_114040" localSheetId="0" hidden="1">'Profit and Loss Statement'!#REF!</definedName>
    <definedName name="QB_ROW_114340" localSheetId="0" hidden="1">'Profit and Loss Statement'!#REF!</definedName>
    <definedName name="QB_ROW_117250" localSheetId="0" hidden="1">'Profit and Loss Statement'!$F$52</definedName>
    <definedName name="QB_ROW_118250" localSheetId="0" hidden="1">'Profit and Loss Statement'!$F$54</definedName>
    <definedName name="QB_ROW_119250" localSheetId="0" hidden="1">'Profit and Loss Statement'!$F$53</definedName>
    <definedName name="QB_ROW_12031" localSheetId="1" hidden="1">'Balance Sheet'!$D$39</definedName>
    <definedName name="QB_ROW_12040" localSheetId="0" hidden="1">'Profit and Loss Statement'!$E$42</definedName>
    <definedName name="QB_ROW_12250" localSheetId="0" hidden="1">'Profit and Loss Statement'!$F$46</definedName>
    <definedName name="QB_ROW_12331" localSheetId="1" hidden="1">'Balance Sheet'!$D$43</definedName>
    <definedName name="QB_ROW_12340" localSheetId="0" hidden="1">'Profit and Loss Statement'!$E$47</definedName>
    <definedName name="QB_ROW_128220" localSheetId="1" hidden="1">'Balance Sheet'!$C$23</definedName>
    <definedName name="QB_ROW_1311" localSheetId="1" hidden="1">'Balance Sheet'!$B$21</definedName>
    <definedName name="QB_ROW_13240" localSheetId="0" hidden="1">'Profit and Loss Statement'!$E$48</definedName>
    <definedName name="QB_ROW_135250" localSheetId="0" hidden="1">'Profit and Loss Statement'!$F$45</definedName>
    <definedName name="QB_ROW_137250" localSheetId="0" hidden="1">'Profit and Loss Statement'!$F$37</definedName>
    <definedName name="QB_ROW_14011" localSheetId="1" hidden="1">'Balance Sheet'!$B$49</definedName>
    <definedName name="QB_ROW_140250" localSheetId="0" hidden="1">'Profit and Loss Statement'!$F$43</definedName>
    <definedName name="QB_ROW_141240" localSheetId="1" hidden="1">'Balance Sheet'!#REF!</definedName>
    <definedName name="QB_ROW_142250" localSheetId="0" hidden="1">'Profit and Loss Statement'!$F$28</definedName>
    <definedName name="QB_ROW_14240" localSheetId="0" hidden="1">'Profit and Loss Statement'!$E$49</definedName>
    <definedName name="QB_ROW_14311" localSheetId="1" hidden="1">'Balance Sheet'!$B$55</definedName>
    <definedName name="QB_ROW_143240" localSheetId="0" hidden="1">'Profit and Loss Statement'!$E$65</definedName>
    <definedName name="QB_ROW_145230" localSheetId="1" hidden="1">'Balance Sheet'!#REF!</definedName>
    <definedName name="QB_ROW_147250" localSheetId="0" hidden="1">'Profit and Loss Statement'!$F$44</definedName>
    <definedName name="QB_ROW_148240" localSheetId="0" hidden="1">'Profit and Loss Statement'!$E$11</definedName>
    <definedName name="QB_ROW_151250" localSheetId="0" hidden="1">'Profit and Loss Statement'!$F$69</definedName>
    <definedName name="QB_ROW_15240" localSheetId="0" hidden="1">'Profit and Loss Statement'!$E$50</definedName>
    <definedName name="QB_ROW_153250" localSheetId="0" hidden="1">'Profit and Loss Statement'!$F$68</definedName>
    <definedName name="QB_ROW_155250" localSheetId="0" hidden="1">'Profit and Loss Statement'!$F$30</definedName>
    <definedName name="QB_ROW_157250" localSheetId="0" hidden="1">'Profit and Loss Statement'!#REF!</definedName>
    <definedName name="QB_ROW_164240" localSheetId="0" hidden="1">'Profit and Loss Statement'!$E$18</definedName>
    <definedName name="QB_ROW_167240" localSheetId="0" hidden="1">'Profit and Loss Statement'!$E$26</definedName>
    <definedName name="QB_ROW_168250" localSheetId="0" hidden="1">'Profit and Loss Statement'!$F$34</definedName>
    <definedName name="QB_ROW_170240" localSheetId="0" hidden="1">'Profit and Loss Statement'!#REF!</definedName>
    <definedName name="QB_ROW_17040" localSheetId="0" hidden="1">'Profit and Loss Statement'!$E$51</definedName>
    <definedName name="QB_ROW_17221" localSheetId="1" hidden="1">'Balance Sheet'!$C$54</definedName>
    <definedName name="QB_ROW_17250" localSheetId="0" hidden="1">'Profit and Loss Statement'!$F$55</definedName>
    <definedName name="QB_ROW_17340" localSheetId="0" hidden="1">'Profit and Loss Statement'!$E$56</definedName>
    <definedName name="QB_ROW_177250" localSheetId="0" hidden="1">'Profit and Loss Statement'!$F$74</definedName>
    <definedName name="QB_ROW_178230" localSheetId="0" hidden="1">'Profit and Loss Statement'!$D$83</definedName>
    <definedName name="QB_ROW_18301" localSheetId="0" hidden="1">'Profit and Loss Statement'!$A$92</definedName>
    <definedName name="QB_ROW_185240" localSheetId="0" hidden="1">'Profit and Loss Statement'!$E$25</definedName>
    <definedName name="QB_ROW_19011" localSheetId="0" hidden="1">'Profit and Loss Statement'!$B$6</definedName>
    <definedName name="QB_ROW_19240" localSheetId="0" hidden="1">'Profit and Loss Statement'!$E$58</definedName>
    <definedName name="QB_ROW_19311" localSheetId="0" hidden="1">'Profit and Loss Statement'!$B$80</definedName>
    <definedName name="QB_ROW_20031" localSheetId="0" hidden="1">'Profit and Loss Statement'!$D$7</definedName>
    <definedName name="QB_ROW_2021" localSheetId="1" hidden="1">'Balance Sheet'!$C$8</definedName>
    <definedName name="QB_ROW_20240" localSheetId="0" hidden="1">'Profit and Loss Statement'!$E$61</definedName>
    <definedName name="QB_ROW_20331" localSheetId="0" hidden="1">'Profit and Loss Statement'!$D$14</definedName>
    <definedName name="QB_ROW_21031" localSheetId="0" hidden="1">'Profit and Loss Statement'!$D$24</definedName>
    <definedName name="QB_ROW_21230" localSheetId="0" hidden="1">'Profit and Loss Statement'!$D$87</definedName>
    <definedName name="QB_ROW_21331" localSheetId="0" hidden="1">'Profit and Loss Statement'!$D$79</definedName>
    <definedName name="QB_ROW_22011" localSheetId="0" hidden="1">'Profit and Loss Statement'!$B$81</definedName>
    <definedName name="QB_ROW_22240" localSheetId="0" hidden="1">'Profit and Loss Statement'!#REF!</definedName>
    <definedName name="QB_ROW_22311" localSheetId="0" hidden="1">'Profit and Loss Statement'!$B$91</definedName>
    <definedName name="QB_ROW_23021" localSheetId="0" hidden="1">'Profit and Loss Statement'!$C$82</definedName>
    <definedName name="QB_ROW_2321" localSheetId="1" hidden="1">'Balance Sheet'!$C$12</definedName>
    <definedName name="QB_ROW_23240" localSheetId="0" hidden="1">'Profit and Loss Statement'!$E$62</definedName>
    <definedName name="QB_ROW_23321" localSheetId="0" hidden="1">'Profit and Loss Statement'!$C$85</definedName>
    <definedName name="QB_ROW_24021" localSheetId="0" hidden="1">'Profit and Loss Statement'!$C$86</definedName>
    <definedName name="QB_ROW_24240" localSheetId="0" hidden="1">'Profit and Loss Statement'!$E$63</definedName>
    <definedName name="QB_ROW_24321" localSheetId="0" hidden="1">'Profit and Loss Statement'!$C$90</definedName>
    <definedName name="QB_ROW_25240" localSheetId="0" hidden="1">'Profit and Loss Statement'!$E$64</definedName>
    <definedName name="QB_ROW_27040" localSheetId="0" hidden="1">'Profit and Loss Statement'!$E$66</definedName>
    <definedName name="QB_ROW_27340" localSheetId="0" hidden="1">'Profit and Loss Statement'!$E$70</definedName>
    <definedName name="QB_ROW_28340" localSheetId="0" hidden="1">'Profit and Loss Statement'!$E$71</definedName>
    <definedName name="QB_ROW_29340" localSheetId="0" hidden="1">'Profit and Loss Statement'!$E$72</definedName>
    <definedName name="QB_ROW_301" localSheetId="1" hidden="1">'Balance Sheet'!$A$29</definedName>
    <definedName name="QB_ROW_3021" localSheetId="1" hidden="1">'Balance Sheet'!$C$14</definedName>
    <definedName name="QB_ROW_30240" localSheetId="0" hidden="1">'Profit and Loss Statement'!$E$77</definedName>
    <definedName name="QB_ROW_32240" localSheetId="0" hidden="1">'Profit and Loss Statement'!$E$78</definedName>
    <definedName name="QB_ROW_3321" localSheetId="1" hidden="1">'Balance Sheet'!$C$16</definedName>
    <definedName name="QB_ROW_33230" localSheetId="0" hidden="1">'Profit and Loss Statement'!$D$84</definedName>
    <definedName name="QB_ROW_35240" localSheetId="1" hidden="1">'Balance Sheet'!$E$42</definedName>
    <definedName name="QB_ROW_36220" localSheetId="1" hidden="1">'Balance Sheet'!$C$50</definedName>
    <definedName name="QB_ROW_37220" localSheetId="1" hidden="1">'Balance Sheet'!$C$52</definedName>
    <definedName name="QB_ROW_38220" localSheetId="1" hidden="1">'Balance Sheet'!$C$51</definedName>
    <definedName name="QB_ROW_39040" localSheetId="0" hidden="1">'Profit and Loss Statement'!$E$27</definedName>
    <definedName name="QB_ROW_39250" localSheetId="0" hidden="1">'Profit and Loss Statement'!$F$31</definedName>
    <definedName name="QB_ROW_39340" localSheetId="0" hidden="1">'Profit and Loss Statement'!$E$32</definedName>
    <definedName name="QB_ROW_4021" localSheetId="1" hidden="1">'Balance Sheet'!$C$17</definedName>
    <definedName name="QB_ROW_40240" localSheetId="1" hidden="1">'Balance Sheet'!$E$41</definedName>
    <definedName name="QB_ROW_41330" localSheetId="1" hidden="1">'Balance Sheet'!$D$19</definedName>
    <definedName name="QB_ROW_4220" localSheetId="1" hidden="1">'Balance Sheet'!$C$25</definedName>
    <definedName name="QB_ROW_42230" localSheetId="1" hidden="1">'Balance Sheet'!$D$15</definedName>
    <definedName name="QB_ROW_4321" localSheetId="1" hidden="1">'Balance Sheet'!$C$20</definedName>
    <definedName name="QB_ROW_43240" localSheetId="1" hidden="1">'Balance Sheet'!$E$34</definedName>
    <definedName name="QB_ROW_44340" localSheetId="0" hidden="1">'Profit and Loss Statement'!$E$19</definedName>
    <definedName name="QB_ROW_45230" localSheetId="1" hidden="1">'Balance Sheet'!$D$18</definedName>
    <definedName name="QB_ROW_47230" localSheetId="1" hidden="1">'Balance Sheet'!$D$11</definedName>
    <definedName name="QB_ROW_48240" localSheetId="1" hidden="1">'Balance Sheet'!#REF!</definedName>
    <definedName name="QB_ROW_49240" localSheetId="1" hidden="1">'Balance Sheet'!$E$40</definedName>
    <definedName name="QB_ROW_5011" localSheetId="1" hidden="1">'Balance Sheet'!$B$22</definedName>
    <definedName name="QB_ROW_5220" localSheetId="1" hidden="1">'Balance Sheet'!$C$27</definedName>
    <definedName name="QB_ROW_5311" localSheetId="1" hidden="1">'Balance Sheet'!$B$28</definedName>
    <definedName name="QB_ROW_53240" localSheetId="0" hidden="1">'Profit and Loss Statement'!$E$20</definedName>
    <definedName name="QB_ROW_54240" localSheetId="0" hidden="1">'Profit and Loss Statement'!$E$13</definedName>
    <definedName name="QB_ROW_58240" localSheetId="0" hidden="1">'Profit and Loss Statement'!$E$9</definedName>
    <definedName name="QB_ROW_60230" localSheetId="1" hidden="1">'Balance Sheet'!$D$9</definedName>
    <definedName name="QB_ROW_61230" localSheetId="1" hidden="1">'Balance Sheet'!$D$10</definedName>
    <definedName name="QB_ROW_62220" localSheetId="1" hidden="1">'Balance Sheet'!$C$53</definedName>
    <definedName name="QB_ROW_7001" localSheetId="1" hidden="1">'Balance Sheet'!$A$30</definedName>
    <definedName name="QB_ROW_71040" localSheetId="0" hidden="1">'Profit and Loss Statement'!$E$73</definedName>
    <definedName name="QB_ROW_71250" localSheetId="0" hidden="1">'Profit and Loss Statement'!$F$75</definedName>
    <definedName name="QB_ROW_71340" localSheetId="0" hidden="1">'Profit and Loss Statement'!$E$76</definedName>
    <definedName name="QB_ROW_7301" localSheetId="1" hidden="1">'Balance Sheet'!$A$56</definedName>
    <definedName name="QB_ROW_7340" localSheetId="0" hidden="1">'Profit and Loss Statement'!$E$8</definedName>
    <definedName name="QB_ROW_75240" localSheetId="1" hidden="1">'Balance Sheet'!$E$37</definedName>
    <definedName name="QB_ROW_77240" localSheetId="0" hidden="1">'Profit and Loss Statement'!$E$57</definedName>
    <definedName name="QB_ROW_8011" localSheetId="1" hidden="1">'Balance Sheet'!$B$31</definedName>
    <definedName name="QB_ROW_80230" localSheetId="0" hidden="1">'Profit and Loss Statement'!$D$89</definedName>
    <definedName name="QB_ROW_8240" localSheetId="0" hidden="1">'Profit and Loss Statement'!$E$12</definedName>
    <definedName name="QB_ROW_8311" localSheetId="1" hidden="1">'Balance Sheet'!$B$48</definedName>
    <definedName name="QB_ROW_84240" localSheetId="0" hidden="1">'Profit and Loss Statement'!#REF!</definedName>
    <definedName name="QB_ROW_85250" localSheetId="0" hidden="1">'Profit and Loss Statement'!#REF!</definedName>
    <definedName name="QB_ROW_86321" localSheetId="0" hidden="1">'Profit and Loss Statement'!$C$23</definedName>
    <definedName name="QB_ROW_87031" localSheetId="0" hidden="1">'Profit and Loss Statement'!$D$17</definedName>
    <definedName name="QB_ROW_87331" localSheetId="0" hidden="1">'Profit and Loss Statement'!$D$22</definedName>
    <definedName name="QB_ROW_88220" localSheetId="1" hidden="1">'Balance Sheet'!$C$26</definedName>
    <definedName name="QB_ROW_89220" localSheetId="1" hidden="1">'Balance Sheet'!$C$24</definedName>
    <definedName name="QB_ROW_9021" localSheetId="1" hidden="1">'Balance Sheet'!$C$32</definedName>
    <definedName name="QB_ROW_91250" localSheetId="0" hidden="1">'Profit and Loss Statement'!$F$67</definedName>
    <definedName name="QB_ROW_9321" localSheetId="1" hidden="1">'Balance Sheet'!$C$44</definedName>
    <definedName name="QB_ROW_94250" localSheetId="0" hidden="1">'Profit and Loss Statement'!$F$36</definedName>
    <definedName name="QB_ROW_96230" localSheetId="1" hidden="1">'Balance Sheet'!#REF!</definedName>
    <definedName name="QB_ROW_99240" localSheetId="0" hidden="1">'Profit and Loss Statement'!#REF!</definedName>
    <definedName name="QBCANSUPPORTUPDATE" localSheetId="1">TRUE</definedName>
    <definedName name="QBCANSUPPORTUPDATE" localSheetId="0">TRUE</definedName>
    <definedName name="QBCOMPANYFILENAME" localSheetId="1">"C:\Documents and Settings\All Users\Documents\Intuit\QuickBooks\Company Files\The Running Store, Inc..QBW"</definedName>
    <definedName name="QBCOMPANYFILENAME" localSheetId="0">"C:\Users\Public\Documents\Intuit\QuickBooks\Company Files\The Running Store, Inc. 15.0.QBW"</definedName>
    <definedName name="QBENDDATE" localSheetId="1">20120911</definedName>
    <definedName name="QBENDDATE" localSheetId="0">20150630</definedName>
    <definedName name="QBHEADERSONSCREEN" localSheetId="1">FALSE</definedName>
    <definedName name="QBHEADERSONSCREEN" localSheetId="0">FALSE</definedName>
    <definedName name="QBMETADATASIZE" localSheetId="1">5785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FALSE</definedName>
    <definedName name="QBPRESERVESPACE" localSheetId="0">FALSE</definedName>
    <definedName name="QBREPORTCOLAXIS" localSheetId="1">0</definedName>
    <definedName name="QBREPORTCOLAXIS" localSheetId="0">0</definedName>
    <definedName name="QBREPORTCOMPANYID" localSheetId="1">"5fa3fcc287264f828950ec339ad25dd5"</definedName>
    <definedName name="QBREPORTCOMPANYID" localSheetId="0">"5fa3fcc287264f828950ec339ad25dd5"</definedName>
    <definedName name="QBREPORTCOMPARECOL_ANNUALBUDGET" localSheetId="1">FALSE</definedName>
    <definedName name="QBREPORTCOMPARECOL_ANNUALBUDGET" localSheetId="0">FALSE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FALSE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TRUE</definedName>
    <definedName name="QBREPORTCOMPARECOL_PREVYEAR" localSheetId="0">TRUE</definedName>
    <definedName name="QBREPORTCOMPARECOL_PYDIFF" localSheetId="1">TRUE</definedName>
    <definedName name="QBREPORTCOMPARECOL_PYDIFF" localSheetId="0">TRUE</definedName>
    <definedName name="QBREPORTCOMPARECOL_PYPCT" localSheetId="1">TRUE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FALSE</definedName>
    <definedName name="QBREPORTCOMPARECOL_YTDBUDGET" localSheetId="1">FALSE</definedName>
    <definedName name="QBREPORTCOMPARECOL_YTDBUDGET" localSheetId="0">FALSE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24</definedName>
    <definedName name="QBREPORTSUBCOLAXIS" localSheetId="0">24</definedName>
    <definedName name="QBREPORTTYPE" localSheetId="1">6</definedName>
    <definedName name="QBREPORTTYPE" localSheetId="0">0</definedName>
    <definedName name="QBROWHEADERS" localSheetId="1">5</definedName>
    <definedName name="QBROWHEADERS" localSheetId="0">6</definedName>
    <definedName name="QBSTARTDATE" localSheetId="1">20120101</definedName>
    <definedName name="QBSTARTDATE" localSheetId="0">20150101</definedName>
  </definedNames>
  <calcPr calcId="171027"/>
</workbook>
</file>

<file path=xl/calcChain.xml><?xml version="1.0" encoding="utf-8"?>
<calcChain xmlns="http://schemas.openxmlformats.org/spreadsheetml/2006/main">
  <c r="I88" i="1" l="1"/>
  <c r="J88" i="1" s="1"/>
  <c r="H59" i="1"/>
  <c r="G59" i="1"/>
  <c r="F35" i="4" l="1"/>
  <c r="G51" i="4"/>
  <c r="I53" i="4"/>
  <c r="H53" i="4"/>
  <c r="I52" i="4"/>
  <c r="H52" i="4"/>
  <c r="I50" i="4"/>
  <c r="H50" i="4"/>
  <c r="G47" i="4"/>
  <c r="F47" i="4"/>
  <c r="I46" i="4"/>
  <c r="I47" i="4" s="1"/>
  <c r="H46" i="4"/>
  <c r="H47" i="4" s="1"/>
  <c r="G43" i="4"/>
  <c r="F43" i="4"/>
  <c r="I43" i="4" s="1"/>
  <c r="I42" i="4"/>
  <c r="H42" i="4"/>
  <c r="B15" i="3" s="1"/>
  <c r="I41" i="4"/>
  <c r="H41" i="4"/>
  <c r="B13" i="3" s="1"/>
  <c r="I40" i="4"/>
  <c r="H40" i="4"/>
  <c r="B14" i="3" s="1"/>
  <c r="G38" i="4"/>
  <c r="F38" i="4"/>
  <c r="H38" i="4" s="1"/>
  <c r="I37" i="4"/>
  <c r="H37" i="4"/>
  <c r="B12" i="3" s="1"/>
  <c r="G35" i="4"/>
  <c r="I35" i="4" s="1"/>
  <c r="I34" i="4"/>
  <c r="H34" i="4"/>
  <c r="G28" i="4"/>
  <c r="F27" i="4"/>
  <c r="H27" i="4" s="1"/>
  <c r="I26" i="4"/>
  <c r="H26" i="4"/>
  <c r="B20" i="3" s="1"/>
  <c r="I25" i="4"/>
  <c r="H25" i="4"/>
  <c r="B19" i="3" s="1"/>
  <c r="I24" i="4"/>
  <c r="H24" i="4"/>
  <c r="I23" i="4"/>
  <c r="H23" i="4"/>
  <c r="G20" i="4"/>
  <c r="F20" i="4"/>
  <c r="I18" i="4"/>
  <c r="H18" i="4"/>
  <c r="B10" i="3" s="1"/>
  <c r="I16" i="4"/>
  <c r="G16" i="4"/>
  <c r="F16" i="4"/>
  <c r="I15" i="4"/>
  <c r="H15" i="4"/>
  <c r="B9" i="3" s="1"/>
  <c r="G12" i="4"/>
  <c r="I11" i="4"/>
  <c r="H11" i="4"/>
  <c r="I9" i="4"/>
  <c r="H9" i="4"/>
  <c r="H16" i="4" l="1"/>
  <c r="I38" i="4"/>
  <c r="H43" i="4"/>
  <c r="G21" i="4"/>
  <c r="G29" i="4" s="1"/>
  <c r="I20" i="4"/>
  <c r="B24" i="3"/>
  <c r="B26" i="3" s="1"/>
  <c r="F44" i="4"/>
  <c r="B28" i="3"/>
  <c r="I51" i="4"/>
  <c r="H51" i="4"/>
  <c r="H35" i="4"/>
  <c r="B11" i="3" s="1"/>
  <c r="B16" i="3" s="1"/>
  <c r="F48" i="4"/>
  <c r="H20" i="4"/>
  <c r="I27" i="4"/>
  <c r="G44" i="4"/>
  <c r="G48" i="4" s="1"/>
  <c r="F28" i="4"/>
  <c r="I44" i="4" l="1"/>
  <c r="H28" i="4"/>
  <c r="I28" i="4"/>
  <c r="H48" i="4"/>
  <c r="I48" i="4"/>
  <c r="H44" i="4"/>
  <c r="I60" i="1" l="1"/>
  <c r="J60" i="1" s="1"/>
  <c r="B22" i="3" l="1"/>
  <c r="G12" i="1"/>
  <c r="H19" i="1"/>
  <c r="G19" i="1"/>
  <c r="H29" i="1"/>
  <c r="G29" i="1"/>
  <c r="H18" i="1"/>
  <c r="G18" i="1"/>
  <c r="I59" i="1" l="1"/>
  <c r="J59" i="1" s="1"/>
  <c r="H90" i="1" l="1"/>
  <c r="G90" i="1"/>
  <c r="I89" i="1"/>
  <c r="J89" i="1" s="1"/>
  <c r="I87" i="1"/>
  <c r="J87" i="1" s="1"/>
  <c r="H85" i="1"/>
  <c r="I85" i="1" s="1"/>
  <c r="J85" i="1" s="1"/>
  <c r="G85" i="1"/>
  <c r="I84" i="1"/>
  <c r="J84" i="1" s="1"/>
  <c r="I83" i="1"/>
  <c r="J83" i="1" s="1"/>
  <c r="I78" i="1"/>
  <c r="J78" i="1" s="1"/>
  <c r="I77" i="1"/>
  <c r="J77" i="1" s="1"/>
  <c r="H76" i="1"/>
  <c r="G76" i="1"/>
  <c r="I75" i="1"/>
  <c r="J75" i="1" s="1"/>
  <c r="I74" i="1"/>
  <c r="J74" i="1" s="1"/>
  <c r="I72" i="1"/>
  <c r="J72" i="1" s="1"/>
  <c r="I71" i="1"/>
  <c r="J71" i="1" s="1"/>
  <c r="H70" i="1"/>
  <c r="G70" i="1"/>
  <c r="I69" i="1"/>
  <c r="J69" i="1" s="1"/>
  <c r="I68" i="1"/>
  <c r="J68" i="1" s="1"/>
  <c r="I67" i="1"/>
  <c r="J67" i="1" s="1"/>
  <c r="I65" i="1"/>
  <c r="J65" i="1" s="1"/>
  <c r="I64" i="1"/>
  <c r="J64" i="1" s="1"/>
  <c r="I63" i="1"/>
  <c r="J63" i="1" s="1"/>
  <c r="I62" i="1"/>
  <c r="J62" i="1" s="1"/>
  <c r="I61" i="1"/>
  <c r="J61" i="1" s="1"/>
  <c r="I58" i="1"/>
  <c r="J58" i="1" s="1"/>
  <c r="I57" i="1"/>
  <c r="J57" i="1" s="1"/>
  <c r="H56" i="1"/>
  <c r="G56" i="1"/>
  <c r="I55" i="1"/>
  <c r="J55" i="1" s="1"/>
  <c r="I54" i="1"/>
  <c r="J54" i="1" s="1"/>
  <c r="I53" i="1"/>
  <c r="J53" i="1" s="1"/>
  <c r="I52" i="1"/>
  <c r="J52" i="1" s="1"/>
  <c r="I50" i="1"/>
  <c r="J50" i="1" s="1"/>
  <c r="I49" i="1"/>
  <c r="J49" i="1" s="1"/>
  <c r="I48" i="1"/>
  <c r="J48" i="1" s="1"/>
  <c r="H47" i="1"/>
  <c r="G47" i="1"/>
  <c r="I46" i="1"/>
  <c r="J46" i="1" s="1"/>
  <c r="I45" i="1"/>
  <c r="J45" i="1" s="1"/>
  <c r="I44" i="1"/>
  <c r="J44" i="1" s="1"/>
  <c r="I43" i="1"/>
  <c r="J43" i="1" s="1"/>
  <c r="H41" i="1"/>
  <c r="G41" i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H32" i="1"/>
  <c r="H79" i="1" s="1"/>
  <c r="G32" i="1"/>
  <c r="I31" i="1"/>
  <c r="J31" i="1" s="1"/>
  <c r="I30" i="1"/>
  <c r="J30" i="1" s="1"/>
  <c r="I29" i="1"/>
  <c r="J29" i="1" s="1"/>
  <c r="I28" i="1"/>
  <c r="J28" i="1" s="1"/>
  <c r="I26" i="1"/>
  <c r="J26" i="1" s="1"/>
  <c r="H22" i="1"/>
  <c r="G22" i="1"/>
  <c r="I21" i="1"/>
  <c r="J21" i="1" s="1"/>
  <c r="I20" i="1"/>
  <c r="J20" i="1" s="1"/>
  <c r="I19" i="1"/>
  <c r="J19" i="1" s="1"/>
  <c r="I18" i="1"/>
  <c r="J18" i="1" s="1"/>
  <c r="H14" i="1"/>
  <c r="G14" i="1"/>
  <c r="I12" i="1"/>
  <c r="J12" i="1" s="1"/>
  <c r="I11" i="1"/>
  <c r="J11" i="1" s="1"/>
  <c r="I10" i="1"/>
  <c r="J10" i="1" s="1"/>
  <c r="I9" i="1"/>
  <c r="J9" i="1" s="1"/>
  <c r="I8" i="1"/>
  <c r="J8" i="1" s="1"/>
  <c r="K59" i="1" l="1"/>
  <c r="K88" i="1"/>
  <c r="K60" i="1"/>
  <c r="G79" i="1"/>
  <c r="I32" i="1"/>
  <c r="J32" i="1" s="1"/>
  <c r="I22" i="1"/>
  <c r="J22" i="1" s="1"/>
  <c r="G23" i="1"/>
  <c r="K23" i="1" s="1"/>
  <c r="K41" i="1"/>
  <c r="K76" i="1"/>
  <c r="I90" i="1"/>
  <c r="J90" i="1" s="1"/>
  <c r="K70" i="1"/>
  <c r="I47" i="1"/>
  <c r="J47" i="1" s="1"/>
  <c r="K22" i="1"/>
  <c r="H23" i="1"/>
  <c r="K32" i="1"/>
  <c r="I41" i="1"/>
  <c r="J41" i="1" s="1"/>
  <c r="I70" i="1"/>
  <c r="J70" i="1" s="1"/>
  <c r="K85" i="1"/>
  <c r="G91" i="1"/>
  <c r="I14" i="1"/>
  <c r="J14" i="1" s="1"/>
  <c r="K56" i="1"/>
  <c r="K14" i="1"/>
  <c r="K21" i="1"/>
  <c r="K26" i="1"/>
  <c r="K31" i="1"/>
  <c r="K36" i="1"/>
  <c r="K40" i="1"/>
  <c r="K45" i="1"/>
  <c r="K49" i="1"/>
  <c r="K54" i="1"/>
  <c r="K58" i="1"/>
  <c r="K61" i="1"/>
  <c r="K64" i="1"/>
  <c r="K69" i="1"/>
  <c r="K87" i="1"/>
  <c r="K9" i="1"/>
  <c r="K18" i="1"/>
  <c r="K28" i="1"/>
  <c r="K37" i="1"/>
  <c r="K46" i="1"/>
  <c r="K50" i="1"/>
  <c r="K55" i="1"/>
  <c r="K65" i="1"/>
  <c r="K77" i="1"/>
  <c r="K83" i="1"/>
  <c r="K89" i="1"/>
  <c r="K8" i="1"/>
  <c r="K11" i="1"/>
  <c r="K20" i="1"/>
  <c r="K30" i="1"/>
  <c r="K39" i="1"/>
  <c r="K48" i="1"/>
  <c r="K57" i="1"/>
  <c r="K63" i="1"/>
  <c r="K72" i="1"/>
  <c r="K12" i="1"/>
  <c r="K34" i="1"/>
  <c r="K43" i="1"/>
  <c r="K52" i="1"/>
  <c r="K67" i="1"/>
  <c r="K74" i="1"/>
  <c r="K84" i="1"/>
  <c r="K35" i="1"/>
  <c r="K44" i="1"/>
  <c r="K53" i="1"/>
  <c r="K68" i="1"/>
  <c r="K75" i="1"/>
  <c r="K10" i="1"/>
  <c r="K19" i="1"/>
  <c r="K29" i="1"/>
  <c r="K38" i="1"/>
  <c r="K62" i="1"/>
  <c r="K71" i="1"/>
  <c r="K78" i="1"/>
  <c r="K47" i="1"/>
  <c r="I56" i="1"/>
  <c r="J56" i="1" s="1"/>
  <c r="I76" i="1"/>
  <c r="J76" i="1" s="1"/>
  <c r="K90" i="1"/>
  <c r="H91" i="1"/>
  <c r="I23" i="1" l="1"/>
  <c r="J23" i="1" s="1"/>
  <c r="H80" i="1"/>
  <c r="K79" i="1"/>
  <c r="I79" i="1"/>
  <c r="J79" i="1" s="1"/>
  <c r="K91" i="1"/>
  <c r="I91" i="1"/>
  <c r="J91" i="1" s="1"/>
  <c r="G80" i="1"/>
  <c r="K80" i="1" l="1"/>
  <c r="I80" i="1"/>
  <c r="J80" i="1" s="1"/>
  <c r="G92" i="1"/>
  <c r="H92" i="1"/>
  <c r="G54" i="4" s="1"/>
  <c r="G55" i="4" s="1"/>
  <c r="G56" i="4" s="1"/>
  <c r="F54" i="4" l="1"/>
  <c r="B7" i="3"/>
  <c r="B17" i="3" s="1"/>
  <c r="B27" i="3" s="1"/>
  <c r="K92" i="1"/>
  <c r="I92" i="1"/>
  <c r="J92" i="1" s="1"/>
  <c r="B29" i="3" l="1"/>
  <c r="F10" i="4"/>
  <c r="I54" i="4"/>
  <c r="H54" i="4"/>
  <c r="F55" i="4"/>
  <c r="I10" i="4" l="1"/>
  <c r="H10" i="4"/>
  <c r="F12" i="4"/>
  <c r="H55" i="4"/>
  <c r="I55" i="4"/>
  <c r="F56" i="4"/>
  <c r="H12" i="4" l="1"/>
  <c r="F21" i="4"/>
  <c r="I12" i="4"/>
  <c r="I56" i="4"/>
  <c r="H56" i="4"/>
  <c r="F29" i="4" l="1"/>
  <c r="H21" i="4"/>
  <c r="I21" i="4"/>
  <c r="I29" i="4" l="1"/>
  <c r="H29" i="4"/>
</calcChain>
</file>

<file path=xl/sharedStrings.xml><?xml version="1.0" encoding="utf-8"?>
<sst xmlns="http://schemas.openxmlformats.org/spreadsheetml/2006/main" count="178" uniqueCount="168">
  <si>
    <t>$ Change</t>
  </si>
  <si>
    <t>Ordinary Income/Expense</t>
  </si>
  <si>
    <t>Income</t>
  </si>
  <si>
    <t>Merchandise Sales</t>
  </si>
  <si>
    <t>Team Sales</t>
  </si>
  <si>
    <t>Total Income</t>
  </si>
  <si>
    <t>Cost of Goods Sold</t>
  </si>
  <si>
    <t>Freight and Shipping Costs</t>
  </si>
  <si>
    <t>POS Inventory Adjustments</t>
  </si>
  <si>
    <t>Purchase Discounts</t>
  </si>
  <si>
    <t>Total COGS</t>
  </si>
  <si>
    <t>Gross Profit</t>
  </si>
  <si>
    <t>Expense</t>
  </si>
  <si>
    <t>Payroll Expenses</t>
  </si>
  <si>
    <t>Payroll Tax Expense</t>
  </si>
  <si>
    <t>Wages</t>
  </si>
  <si>
    <t>Payroll Expenses - Other</t>
  </si>
  <si>
    <t>Total Payroll Expenses</t>
  </si>
  <si>
    <t>Advertising and Promotion</t>
  </si>
  <si>
    <t>Print Ads</t>
  </si>
  <si>
    <t>Total Advertising and Promotion</t>
  </si>
  <si>
    <t>Automobile Expense</t>
  </si>
  <si>
    <t>Auto Insurance</t>
  </si>
  <si>
    <t>Gas</t>
  </si>
  <si>
    <t>Vehicle Repair</t>
  </si>
  <si>
    <t>Automobile Expense - Other</t>
  </si>
  <si>
    <t>Total Automobile Expense</t>
  </si>
  <si>
    <t>Bank Service Charges</t>
  </si>
  <si>
    <t>Business Licenses and Permits</t>
  </si>
  <si>
    <t>Cash Over and Short</t>
  </si>
  <si>
    <t>Computer and Internet Expenses</t>
  </si>
  <si>
    <t>Hardware</t>
  </si>
  <si>
    <t>Software</t>
  </si>
  <si>
    <t>Subscriptions</t>
  </si>
  <si>
    <t>Computer and Internet Expenses - Other</t>
  </si>
  <si>
    <t>Total Computer and Internet Expenses</t>
  </si>
  <si>
    <t>Credit Card Fees</t>
  </si>
  <si>
    <t>Dues and Subscriptions</t>
  </si>
  <si>
    <t>Insurance Expense</t>
  </si>
  <si>
    <t>Meals and Entertainment</t>
  </si>
  <si>
    <t>Office Expense</t>
  </si>
  <si>
    <t>Postage and Delivery</t>
  </si>
  <si>
    <t>Professional Fees</t>
  </si>
  <si>
    <t>Accounting Fees</t>
  </si>
  <si>
    <t>Consulting Fees</t>
  </si>
  <si>
    <t>Legal Fees</t>
  </si>
  <si>
    <t>Total Professional Fees</t>
  </si>
  <si>
    <t>Rent Expense</t>
  </si>
  <si>
    <t>Repairs and Maintenance</t>
  </si>
  <si>
    <t>Tax</t>
  </si>
  <si>
    <t>Business License Tax</t>
  </si>
  <si>
    <t>Total Tax</t>
  </si>
  <si>
    <t>Utilities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</si>
  <si>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</si>
  <si>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</si>
  <si>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</si>
  <si>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</si>
  <si>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</si>
  <si>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</si>
  <si>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Other Expense</t>
  </si>
  <si>
    <t>Interest Expense</t>
  </si>
  <si>
    <t>Balancing Adjustments</t>
  </si>
  <si>
    <t>Total Other Expense</t>
  </si>
  <si>
    <t>Net Other Income</t>
  </si>
  <si>
    <t>Net Income</t>
  </si>
  <si>
    <t>% Change</t>
  </si>
  <si>
    <t>% of Sales</t>
  </si>
  <si>
    <t>A Running Shop</t>
  </si>
  <si>
    <t>Profit and Loss Statement</t>
  </si>
  <si>
    <t>Training Programs</t>
  </si>
  <si>
    <t>Events</t>
  </si>
  <si>
    <t>POS Discounts</t>
  </si>
  <si>
    <t>Fiscal Year 2016</t>
  </si>
  <si>
    <t>2015</t>
  </si>
  <si>
    <t>2016</t>
  </si>
  <si>
    <t>Running Club</t>
  </si>
  <si>
    <t>Officer Salary</t>
  </si>
  <si>
    <t>Radio</t>
  </si>
  <si>
    <t>Logo Apparel Giveaway</t>
  </si>
  <si>
    <t>Special Events</t>
  </si>
  <si>
    <t>Web, Google, Facebook</t>
  </si>
  <si>
    <t>Running Club Coaches</t>
  </si>
  <si>
    <t>Other Tax</t>
  </si>
  <si>
    <t>Telephone</t>
  </si>
  <si>
    <t>Copying, Printing</t>
  </si>
  <si>
    <t>Event Expense</t>
  </si>
  <si>
    <t>General and Admin Expense</t>
  </si>
  <si>
    <t>Statement of Cash Flows</t>
  </si>
  <si>
    <t>January 1 - December 31, 2016</t>
  </si>
  <si>
    <t>Total</t>
  </si>
  <si>
    <t>OPERATING ACTIVITIES</t>
  </si>
  <si>
    <t xml:space="preserve">   Net Income</t>
  </si>
  <si>
    <t xml:space="preserve">   Adjustments to reconcile Net Income to Net Cash provided by operations:</t>
  </si>
  <si>
    <t xml:space="preserve">         Accounts Receivable (A/R)</t>
  </si>
  <si>
    <t xml:space="preserve">         Inventory</t>
  </si>
  <si>
    <t xml:space="preserve">         Accounts Payable</t>
  </si>
  <si>
    <t xml:space="preserve">         Credit Card</t>
  </si>
  <si>
    <t xml:space="preserve">         Other Current Liabilities</t>
  </si>
  <si>
    <t xml:space="preserve">         Sales Tax Payable</t>
  </si>
  <si>
    <t xml:space="preserve">   Total Adjustments to reconcile Net Income to Net Cash provided by operations:</t>
  </si>
  <si>
    <t>Net cash provided by operating activities</t>
  </si>
  <si>
    <t>INVESTING ACTIVITIES</t>
  </si>
  <si>
    <t xml:space="preserve">   Furniture &amp; Fixtures</t>
  </si>
  <si>
    <t xml:space="preserve">   Leasehold Improvements</t>
  </si>
  <si>
    <t>Net cash provided by investing activities</t>
  </si>
  <si>
    <t>FINANCING ACTIVITIES</t>
  </si>
  <si>
    <t xml:space="preserve">   Partner Contributions</t>
  </si>
  <si>
    <t>Net cash provided by financing activities</t>
  </si>
  <si>
    <t>Net cash increase for period</t>
  </si>
  <si>
    <t>Cash at beginning of period</t>
  </si>
  <si>
    <t>Cash at end of period</t>
  </si>
  <si>
    <t>Balance Sheet</t>
  </si>
  <si>
    <t>12/31/16</t>
  </si>
  <si>
    <t>12/31/15</t>
  </si>
  <si>
    <t>ASSETS</t>
  </si>
  <si>
    <t>Current Assets</t>
  </si>
  <si>
    <t>Checking/Savings</t>
  </si>
  <si>
    <t>RunrBank Checking</t>
  </si>
  <si>
    <t>RunrBank Money Market</t>
  </si>
  <si>
    <t>Cash in Drawer</t>
  </si>
  <si>
    <t>Total Checking/Savings</t>
  </si>
  <si>
    <t>Accounts Receivable</t>
  </si>
  <si>
    <t>Total Accounts Receivable</t>
  </si>
  <si>
    <t>Other Current Assets</t>
  </si>
  <si>
    <t>Inventory Asset</t>
  </si>
  <si>
    <t>Total Other Current Assets</t>
  </si>
  <si>
    <t>Total Current Assets</t>
  </si>
  <si>
    <t>Fixed Assets</t>
  </si>
  <si>
    <t>Vehicles</t>
  </si>
  <si>
    <t>Equipment</t>
  </si>
  <si>
    <t>Furniture and Fixtures</t>
  </si>
  <si>
    <t>Leasehold Improvements</t>
  </si>
  <si>
    <t>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</si>
  <si>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</si>
  <si>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</si>
  <si>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</si>
  <si>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</si>
  <si>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</si>
  <si>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</si>
  <si>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</si>
  <si>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Credit Cards</t>
  </si>
  <si>
    <t>RunrBank Credit Card</t>
  </si>
  <si>
    <t>Total Credit Cards</t>
  </si>
  <si>
    <t>Other Current Liabilities</t>
  </si>
  <si>
    <t>Gift Cards Outstanding</t>
  </si>
  <si>
    <t>Payroll Liabilities</t>
  </si>
  <si>
    <t>Sales Tax Payable</t>
  </si>
  <si>
    <t>Total Other Current Liabilities</t>
  </si>
  <si>
    <t>Total Current Liabilities</t>
  </si>
  <si>
    <t>Long Term Liabilities</t>
  </si>
  <si>
    <t>Bank Note:SBA Loan</t>
  </si>
  <si>
    <t>Total Long Term Liabilities</t>
  </si>
  <si>
    <t>Total Liabilities</t>
  </si>
  <si>
    <t>Equity</t>
  </si>
  <si>
    <t>Capital Stock</t>
  </si>
  <si>
    <t>Retained Earnings</t>
  </si>
  <si>
    <t>Shareholder Distributions</t>
  </si>
  <si>
    <t>Shareholder Investment</t>
  </si>
  <si>
    <t>Total Equity</t>
  </si>
  <si>
    <t>TOTAL LIABILITIES &amp; EQUITY</t>
  </si>
  <si>
    <t xml:space="preserve">         Payroll Liabilities</t>
  </si>
  <si>
    <t>Depreciation</t>
  </si>
  <si>
    <t>Principal Reduction</t>
  </si>
  <si>
    <t>AR decreased, net cash flow in</t>
  </si>
  <si>
    <t>Inventory decreased, net cash flow in</t>
  </si>
  <si>
    <t>A/P decreased, net cash flow out</t>
  </si>
  <si>
    <t>Credit card balance decreased, net cash flow out</t>
  </si>
  <si>
    <t>Depreciation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</si>
</sst>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0.0%"/>
    <numFmt numFmtId="166" formatCode="#,##0.0#%;\-#,##0.0#%"/>
  </numFmts>
  <fonts count="1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Arial"/>
    </font>
    <font>
      <b/>
      <sz val="11"/>
      <color indexed="8"/>
      <name val="Calibri"/>
      <family val="2"/>
      <scheme val="minor"/>
    </font>
    <font>
      <b/>
      <sz val="10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theme="0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5" fontId="1" fillId="0" borderId="1" xfId="2" applyNumberFormat="1" applyFont="1" applyBorder="1" applyAlignment="1">
      <alignment horizontal="center"/>
    </xf>
    <xf numFmtId="165" fontId="2" fillId="0" borderId="0" xfId="2" applyNumberFormat="1" applyFont="1"/>
    <xf numFmtId="165" fontId="2" fillId="0" borderId="2" xfId="2" applyNumberFormat="1" applyFont="1" applyBorder="1"/>
    <xf numFmtId="165" fontId="2" fillId="0" borderId="0" xfId="2" applyNumberFormat="1" applyFont="1" applyBorder="1"/>
    <xf numFmtId="165" fontId="2" fillId="0" borderId="3" xfId="2" applyNumberFormat="1" applyFont="1" applyBorder="1"/>
    <xf numFmtId="165" fontId="2" fillId="0" borderId="4" xfId="2" applyNumberFormat="1" applyFont="1" applyBorder="1"/>
    <xf numFmtId="165" fontId="1" fillId="0" borderId="5" xfId="2" applyNumberFormat="1" applyFont="1" applyBorder="1"/>
    <xf numFmtId="0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64" fontId="2" fillId="0" borderId="0" xfId="0" applyNumberFormat="1" applyFont="1" applyFill="1"/>
    <xf numFmtId="165" fontId="2" fillId="0" borderId="0" xfId="2" applyNumberFormat="1" applyFont="1" applyFill="1"/>
    <xf numFmtId="165" fontId="2" fillId="0" borderId="0" xfId="2" applyNumberFormat="1" applyFont="1" applyFill="1" applyBorder="1"/>
    <xf numFmtId="0" fontId="6" fillId="0" borderId="0" xfId="0" applyFont="1"/>
    <xf numFmtId="49" fontId="1" fillId="0" borderId="0" xfId="0" applyNumberFormat="1" applyFont="1" applyFill="1"/>
    <xf numFmtId="0" fontId="7" fillId="0" borderId="0" xfId="4"/>
    <xf numFmtId="0" fontId="7" fillId="0" borderId="0" xfId="4" applyAlignment="1">
      <alignment wrapText="1"/>
    </xf>
    <xf numFmtId="0" fontId="12" fillId="0" borderId="0" xfId="4" applyFont="1" applyAlignment="1">
      <alignment horizontal="left" wrapText="1"/>
    </xf>
    <xf numFmtId="166" fontId="2" fillId="0" borderId="0" xfId="0" applyNumberFormat="1" applyFont="1"/>
    <xf numFmtId="166" fontId="2" fillId="0" borderId="2" xfId="0" applyNumberFormat="1" applyFont="1" applyBorder="1"/>
    <xf numFmtId="166" fontId="2" fillId="0" borderId="3" xfId="0" applyNumberFormat="1" applyFont="1" applyBorder="1"/>
    <xf numFmtId="166" fontId="2" fillId="0" borderId="0" xfId="0" applyNumberFormat="1" applyFont="1" applyBorder="1"/>
    <xf numFmtId="166" fontId="2" fillId="0" borderId="4" xfId="0" applyNumberFormat="1" applyFont="1" applyBorder="1"/>
    <xf numFmtId="166" fontId="1" fillId="0" borderId="5" xfId="0" applyNumberFormat="1" applyFont="1" applyBorder="1"/>
    <xf numFmtId="164" fontId="14" fillId="0" borderId="0" xfId="0" applyNumberFormat="1" applyFont="1" applyFill="1" applyBorder="1"/>
    <xf numFmtId="166" fontId="14" fillId="0" borderId="0" xfId="0" applyNumberFormat="1" applyFont="1" applyFill="1" applyBorder="1"/>
    <xf numFmtId="43" fontId="0" fillId="0" borderId="0" xfId="3" applyNumberFormat="1" applyFont="1"/>
    <xf numFmtId="43" fontId="0" fillId="0" borderId="0" xfId="3" applyFont="1"/>
    <xf numFmtId="0" fontId="15" fillId="0" borderId="0" xfId="4" applyFont="1" applyAlignment="1">
      <alignment horizontal="left" wrapText="1"/>
    </xf>
    <xf numFmtId="0" fontId="16" fillId="0" borderId="0" xfId="4" applyFont="1"/>
    <xf numFmtId="44" fontId="13" fillId="0" borderId="0" xfId="4" applyNumberFormat="1" applyFont="1" applyAlignment="1">
      <alignment wrapText="1"/>
    </xf>
    <xf numFmtId="44" fontId="11" fillId="0" borderId="6" xfId="4" applyNumberFormat="1" applyFont="1" applyBorder="1" applyAlignment="1">
      <alignment wrapText="1"/>
    </xf>
    <xf numFmtId="44" fontId="12" fillId="0" borderId="7" xfId="4" applyNumberFormat="1" applyFont="1" applyBorder="1" applyAlignment="1">
      <alignment wrapText="1"/>
    </xf>
    <xf numFmtId="44" fontId="7" fillId="0" borderId="0" xfId="4" applyNumberFormat="1" applyAlignment="1"/>
    <xf numFmtId="0" fontId="8" fillId="0" borderId="0" xfId="4" applyFont="1" applyAlignment="1">
      <alignment horizontal="center"/>
    </xf>
    <xf numFmtId="0" fontId="7" fillId="0" borderId="0" xfId="4"/>
    <xf numFmtId="0" fontId="9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0" fontId="13" fillId="0" borderId="0" xfId="4" applyFont="1" applyAlignment="1">
      <alignment horizontal="center"/>
    </xf>
  </cellXfs>
  <cellStyles count="5">
    <cellStyle name="Comma" xfId="3" builtinId="3"/>
    <cellStyle name="Normal" xfId="0" builtinId="0"/>
    <cellStyle name="Normal 2" xfId="1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4</xdr:col>
          <xdr:colOff>76200</xdr:colOff>
          <xdr:row>4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4</xdr:col>
          <xdr:colOff>76200</xdr:colOff>
          <xdr:row>4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4</xdr:col>
          <xdr:colOff>76200</xdr:colOff>
          <xdr:row>4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4</xdr:col>
          <xdr:colOff>76200</xdr:colOff>
          <xdr:row>4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93"/>
  <sheetViews>
    <sheetView workbookViewId="0">
      <pane xSplit="6" ySplit="5" topLeftCell="G6" activePane="bottomRight" state="frozenSplit"/>
      <selection pane="topRight" activeCell="G1" sqref="G1"/>
      <selection pane="bottomLeft" activeCell="A3" sqref="A3"/>
      <selection pane="bottomRight" activeCell="L11" sqref="L11"/>
    </sheetView>
  </sheetViews>
  <sheetFormatPr defaultRowHeight="14.5" x14ac:dyDescent="0.35"/>
  <cols>
    <col min="1" max="5" width="3" style="13" customWidth="1"/>
    <col min="6" max="6" width="33.90625" style="13" customWidth="1"/>
    <col min="7" max="8" width="10.08984375" style="14" bestFit="1" customWidth="1"/>
    <col min="9" max="9" width="8.453125" style="14" bestFit="1" customWidth="1"/>
    <col min="12" max="12" width="8.7265625" customWidth="1"/>
  </cols>
  <sheetData>
    <row r="1" spans="1:11" x14ac:dyDescent="0.35">
      <c r="F1" s="22" t="s">
        <v>68</v>
      </c>
    </row>
    <row r="2" spans="1:11" x14ac:dyDescent="0.35">
      <c r="F2" s="22" t="s">
        <v>67</v>
      </c>
    </row>
    <row r="3" spans="1:11" x14ac:dyDescent="0.35">
      <c r="F3" s="23" t="s">
        <v>72</v>
      </c>
    </row>
    <row r="4" spans="1:11" ht="15" thickBot="1" x14ac:dyDescent="0.4">
      <c r="A4" s="1"/>
      <c r="B4" s="1"/>
      <c r="C4" s="1"/>
      <c r="D4" s="1"/>
      <c r="E4" s="1"/>
      <c r="F4" s="28"/>
      <c r="G4" s="2"/>
      <c r="H4" s="2"/>
      <c r="I4" s="2"/>
    </row>
    <row r="5" spans="1:11" s="12" customFormat="1" ht="15.5" thickTop="1" thickBot="1" x14ac:dyDescent="0.4">
      <c r="A5" s="10"/>
      <c r="B5" s="10"/>
      <c r="C5" s="10"/>
      <c r="D5" s="10"/>
      <c r="E5" s="10"/>
      <c r="F5" s="10"/>
      <c r="G5" s="11" t="s">
        <v>74</v>
      </c>
      <c r="H5" s="11" t="s">
        <v>73</v>
      </c>
      <c r="I5" s="11" t="s">
        <v>0</v>
      </c>
      <c r="J5" s="15" t="s">
        <v>65</v>
      </c>
      <c r="K5" s="15" t="s">
        <v>66</v>
      </c>
    </row>
    <row r="6" spans="1:11" ht="15" thickTop="1" x14ac:dyDescent="0.35">
      <c r="A6" s="1"/>
      <c r="B6" s="1" t="s">
        <v>1</v>
      </c>
      <c r="C6" s="1"/>
      <c r="D6" s="1"/>
      <c r="E6" s="1"/>
      <c r="F6" s="1"/>
      <c r="G6" s="3"/>
      <c r="H6" s="3"/>
      <c r="I6" s="3"/>
      <c r="J6" s="16"/>
      <c r="K6" s="16"/>
    </row>
    <row r="7" spans="1:11" x14ac:dyDescent="0.35">
      <c r="A7" s="1"/>
      <c r="B7" s="1"/>
      <c r="C7" s="1"/>
      <c r="D7" s="1" t="s">
        <v>2</v>
      </c>
      <c r="E7" s="1"/>
      <c r="F7" s="1"/>
      <c r="G7" s="3"/>
      <c r="H7" s="3"/>
      <c r="I7" s="3"/>
      <c r="J7" s="16"/>
      <c r="K7" s="16"/>
    </row>
    <row r="8" spans="1:11" x14ac:dyDescent="0.35">
      <c r="A8" s="1"/>
      <c r="B8" s="1"/>
      <c r="C8" s="1"/>
      <c r="D8" s="1"/>
      <c r="E8" s="1" t="s">
        <v>3</v>
      </c>
      <c r="F8" s="1"/>
      <c r="G8" s="24">
        <v>1327500</v>
      </c>
      <c r="H8" s="24">
        <v>1294325</v>
      </c>
      <c r="I8" s="24">
        <f t="shared" ref="I8:I14" si="0">ROUND((G8-H8),5)</f>
        <v>33175</v>
      </c>
      <c r="J8" s="25">
        <f>I8/H8</f>
        <v>2.563112046819771E-2</v>
      </c>
      <c r="K8" s="16">
        <f t="shared" ref="K8:K14" si="1">G8/$G$14</f>
        <v>1.025234278582605</v>
      </c>
    </row>
    <row r="9" spans="1:11" x14ac:dyDescent="0.35">
      <c r="A9" s="1"/>
      <c r="B9" s="1"/>
      <c r="C9" s="1"/>
      <c r="D9" s="1"/>
      <c r="E9" s="1" t="s">
        <v>69</v>
      </c>
      <c r="F9" s="1"/>
      <c r="G9" s="24">
        <v>3800</v>
      </c>
      <c r="H9" s="24">
        <v>2400</v>
      </c>
      <c r="I9" s="24">
        <f t="shared" si="0"/>
        <v>1400</v>
      </c>
      <c r="J9" s="25">
        <f t="shared" ref="J9:J68" si="2">I9/H9</f>
        <v>0.58333333333333337</v>
      </c>
      <c r="K9" s="16">
        <f t="shared" si="1"/>
        <v>2.9347572569596225E-3</v>
      </c>
    </row>
    <row r="10" spans="1:11" x14ac:dyDescent="0.35">
      <c r="A10" s="1"/>
      <c r="B10" s="1"/>
      <c r="C10" s="1"/>
      <c r="D10" s="1"/>
      <c r="E10" s="1" t="s">
        <v>4</v>
      </c>
      <c r="F10" s="1"/>
      <c r="G10" s="24">
        <v>6876</v>
      </c>
      <c r="H10" s="24">
        <v>9567</v>
      </c>
      <c r="I10" s="24">
        <f t="shared" si="0"/>
        <v>-2691</v>
      </c>
      <c r="J10" s="25">
        <f t="shared" si="2"/>
        <v>-0.2812793979303857</v>
      </c>
      <c r="K10" s="16">
        <f t="shared" si="1"/>
        <v>5.3103660260143066E-3</v>
      </c>
    </row>
    <row r="11" spans="1:11" x14ac:dyDescent="0.35">
      <c r="A11" s="1"/>
      <c r="B11" s="1"/>
      <c r="C11" s="1"/>
      <c r="D11" s="1"/>
      <c r="E11" s="1" t="s">
        <v>70</v>
      </c>
      <c r="F11" s="1"/>
      <c r="G11" s="24">
        <v>25680</v>
      </c>
      <c r="H11" s="24">
        <v>31150</v>
      </c>
      <c r="I11" s="24">
        <f t="shared" si="0"/>
        <v>-5470</v>
      </c>
      <c r="J11" s="25">
        <f t="shared" si="2"/>
        <v>-0.17560192616372391</v>
      </c>
      <c r="K11" s="16">
        <f t="shared" si="1"/>
        <v>1.9832780620716604E-2</v>
      </c>
    </row>
    <row r="12" spans="1:11" x14ac:dyDescent="0.35">
      <c r="A12" s="1"/>
      <c r="B12" s="1"/>
      <c r="C12" s="1"/>
      <c r="D12" s="1"/>
      <c r="E12" s="1" t="s">
        <v>71</v>
      </c>
      <c r="F12" s="1"/>
      <c r="G12" s="24">
        <f>-G8*0.052</f>
        <v>-69030</v>
      </c>
      <c r="H12" s="24">
        <v>-54386</v>
      </c>
      <c r="I12" s="24">
        <f t="shared" si="0"/>
        <v>-14644</v>
      </c>
      <c r="J12" s="25">
        <f>I12/H12</f>
        <v>0.26926047144485715</v>
      </c>
      <c r="K12" s="16">
        <f t="shared" si="1"/>
        <v>-5.3312182486295455E-2</v>
      </c>
    </row>
    <row r="13" spans="1:11" ht="15" thickBot="1" x14ac:dyDescent="0.4">
      <c r="A13" s="1"/>
      <c r="B13" s="1"/>
      <c r="C13" s="1"/>
      <c r="D13" s="1"/>
      <c r="E13" s="1"/>
      <c r="F13" s="1"/>
      <c r="G13" s="4"/>
      <c r="H13" s="4"/>
      <c r="I13" s="4"/>
      <c r="J13" s="17"/>
      <c r="K13" s="17"/>
    </row>
    <row r="14" spans="1:11" x14ac:dyDescent="0.35">
      <c r="A14" s="1"/>
      <c r="B14" s="1"/>
      <c r="C14" s="1"/>
      <c r="D14" s="1" t="s">
        <v>5</v>
      </c>
      <c r="E14" s="1"/>
      <c r="F14" s="1"/>
      <c r="G14" s="3">
        <f>ROUND(SUM(G7:G13),5)</f>
        <v>1294826</v>
      </c>
      <c r="H14" s="3">
        <f>ROUND(SUM(H7:H13),5)</f>
        <v>1283056</v>
      </c>
      <c r="I14" s="3">
        <f t="shared" si="0"/>
        <v>11770</v>
      </c>
      <c r="J14" s="16">
        <f>I14/H14</f>
        <v>9.1734109812821891E-3</v>
      </c>
      <c r="K14" s="16">
        <f t="shared" si="1"/>
        <v>1</v>
      </c>
    </row>
    <row r="15" spans="1:11" x14ac:dyDescent="0.35">
      <c r="A15" s="1"/>
      <c r="B15" s="1"/>
      <c r="C15" s="1"/>
    </row>
    <row r="16" spans="1:11" x14ac:dyDescent="0.35">
      <c r="A16" s="1"/>
      <c r="B16" s="1"/>
      <c r="C16" s="1"/>
    </row>
    <row r="17" spans="1:11" x14ac:dyDescent="0.35">
      <c r="A17" s="1"/>
      <c r="B17" s="1"/>
      <c r="C17" s="1"/>
      <c r="D17" s="1" t="s">
        <v>6</v>
      </c>
      <c r="E17" s="1"/>
      <c r="F17" s="1"/>
      <c r="G17" s="3"/>
      <c r="H17" s="3"/>
      <c r="I17" s="3"/>
      <c r="J17" s="16"/>
      <c r="K17" s="16"/>
    </row>
    <row r="18" spans="1:11" x14ac:dyDescent="0.35">
      <c r="A18" s="1"/>
      <c r="B18" s="1"/>
      <c r="C18" s="1"/>
      <c r="D18" s="1"/>
      <c r="E18" s="1" t="s">
        <v>7</v>
      </c>
      <c r="F18" s="1"/>
      <c r="G18" s="3">
        <f>G8*0.0175</f>
        <v>23231.250000000004</v>
      </c>
      <c r="H18" s="3">
        <f>H8*0.0175</f>
        <v>22650.687500000004</v>
      </c>
      <c r="I18" s="3">
        <f t="shared" ref="I18:I23" si="3">ROUND((G18-H18),5)</f>
        <v>580.5625</v>
      </c>
      <c r="J18" s="16">
        <f t="shared" si="2"/>
        <v>2.5631120468197707E-2</v>
      </c>
      <c r="K18" s="16">
        <f t="shared" ref="K18:K23" si="4">G18/$G$14</f>
        <v>1.7941599875195589E-2</v>
      </c>
    </row>
    <row r="19" spans="1:11" x14ac:dyDescent="0.35">
      <c r="A19" s="1"/>
      <c r="B19" s="1"/>
      <c r="C19" s="1"/>
      <c r="D19" s="1"/>
      <c r="E19" s="1" t="s">
        <v>6</v>
      </c>
      <c r="F19" s="1"/>
      <c r="G19" s="3">
        <f>(G8+G10)*0.582</f>
        <v>776606.83199999994</v>
      </c>
      <c r="H19" s="3">
        <f>(H8+H10)*0.585</f>
        <v>762776.82</v>
      </c>
      <c r="I19" s="3">
        <f t="shared" si="3"/>
        <v>13830.012000000001</v>
      </c>
      <c r="J19" s="16">
        <f t="shared" si="2"/>
        <v>1.8131138279739546E-2</v>
      </c>
      <c r="K19" s="16">
        <f t="shared" si="4"/>
        <v>0.59977698316221639</v>
      </c>
    </row>
    <row r="20" spans="1:11" x14ac:dyDescent="0.35">
      <c r="A20" s="1"/>
      <c r="B20" s="1"/>
      <c r="C20" s="1"/>
      <c r="D20" s="1"/>
      <c r="E20" s="1" t="s">
        <v>8</v>
      </c>
      <c r="F20" s="1"/>
      <c r="G20" s="3">
        <v>765</v>
      </c>
      <c r="H20" s="3">
        <v>1042</v>
      </c>
      <c r="I20" s="3">
        <f t="shared" si="3"/>
        <v>-277</v>
      </c>
      <c r="J20" s="16">
        <f t="shared" si="2"/>
        <v>-0.26583493282149712</v>
      </c>
      <c r="K20" s="16">
        <f t="shared" si="4"/>
        <v>5.9081297409845025E-4</v>
      </c>
    </row>
    <row r="21" spans="1:11" ht="15" thickBot="1" x14ac:dyDescent="0.4">
      <c r="A21" s="1"/>
      <c r="B21" s="1"/>
      <c r="C21" s="1"/>
      <c r="D21" s="1"/>
      <c r="E21" s="1" t="s">
        <v>9</v>
      </c>
      <c r="F21" s="1"/>
      <c r="G21" s="5">
        <v>-14576</v>
      </c>
      <c r="H21" s="5">
        <v>-12256</v>
      </c>
      <c r="I21" s="5">
        <f t="shared" si="3"/>
        <v>-2320</v>
      </c>
      <c r="J21" s="26">
        <f t="shared" si="2"/>
        <v>0.18929503916449086</v>
      </c>
      <c r="K21" s="18">
        <f t="shared" si="4"/>
        <v>-1.1257110994064068E-2</v>
      </c>
    </row>
    <row r="22" spans="1:11" ht="15" thickBot="1" x14ac:dyDescent="0.4">
      <c r="A22" s="1"/>
      <c r="B22" s="1"/>
      <c r="C22" s="1"/>
      <c r="D22" s="1" t="s">
        <v>10</v>
      </c>
      <c r="E22" s="1"/>
      <c r="F22" s="1"/>
      <c r="G22" s="6">
        <f>ROUND(SUM(G17:G21),5)</f>
        <v>786027.08200000005</v>
      </c>
      <c r="H22" s="6">
        <f>ROUND(SUM(H17:H21),5)</f>
        <v>774213.50749999995</v>
      </c>
      <c r="I22" s="6">
        <f t="shared" si="3"/>
        <v>11813.574500000001</v>
      </c>
      <c r="J22" s="19">
        <f t="shared" si="2"/>
        <v>1.5258807015841171E-2</v>
      </c>
      <c r="K22" s="19">
        <f t="shared" si="4"/>
        <v>0.60705228501744635</v>
      </c>
    </row>
    <row r="23" spans="1:11" x14ac:dyDescent="0.35">
      <c r="A23" s="1"/>
      <c r="B23" s="1"/>
      <c r="C23" s="1" t="s">
        <v>11</v>
      </c>
      <c r="D23" s="1"/>
      <c r="E23" s="1"/>
      <c r="F23" s="1"/>
      <c r="G23" s="3">
        <f>ROUND(G14-G22,5)</f>
        <v>508798.91800000001</v>
      </c>
      <c r="H23" s="3">
        <f>ROUND(H14-H22,5)</f>
        <v>508842.49249999999</v>
      </c>
      <c r="I23" s="3">
        <f t="shared" si="3"/>
        <v>-43.5745</v>
      </c>
      <c r="J23" s="16">
        <f t="shared" si="2"/>
        <v>-8.5634554193604419E-5</v>
      </c>
      <c r="K23" s="16">
        <f t="shared" si="4"/>
        <v>0.39294771498255365</v>
      </c>
    </row>
    <row r="24" spans="1:11" x14ac:dyDescent="0.35">
      <c r="A24" s="1"/>
      <c r="B24" s="1"/>
      <c r="C24" s="1"/>
      <c r="D24" s="1" t="s">
        <v>12</v>
      </c>
      <c r="E24" s="1"/>
      <c r="F24" s="1"/>
      <c r="G24" s="3"/>
      <c r="H24" s="3"/>
      <c r="I24" s="3"/>
      <c r="J24" s="16"/>
      <c r="K24" s="16"/>
    </row>
    <row r="25" spans="1:11" x14ac:dyDescent="0.35">
      <c r="A25" s="1"/>
      <c r="B25" s="1"/>
      <c r="C25" s="1"/>
      <c r="D25" s="1"/>
      <c r="E25" s="1"/>
      <c r="F25" s="1"/>
      <c r="G25" s="3"/>
      <c r="H25" s="3"/>
      <c r="I25" s="3"/>
      <c r="J25" s="16"/>
      <c r="K25" s="16"/>
    </row>
    <row r="26" spans="1:11" x14ac:dyDescent="0.35">
      <c r="A26" s="1"/>
      <c r="B26" s="1"/>
      <c r="C26" s="1"/>
      <c r="D26" s="1"/>
      <c r="E26" s="1" t="s">
        <v>75</v>
      </c>
      <c r="F26" s="1"/>
      <c r="G26" s="3">
        <v>1200</v>
      </c>
      <c r="H26" s="3">
        <v>850</v>
      </c>
      <c r="I26" s="3">
        <f>ROUND((G26-H26),5)</f>
        <v>350</v>
      </c>
      <c r="J26" s="16">
        <f t="shared" si="2"/>
        <v>0.41176470588235292</v>
      </c>
      <c r="K26" s="16">
        <f>G26/$G$14</f>
        <v>9.2676544956619652E-4</v>
      </c>
    </row>
    <row r="27" spans="1:11" x14ac:dyDescent="0.35">
      <c r="A27" s="1"/>
      <c r="B27" s="1"/>
      <c r="C27" s="1"/>
      <c r="D27" s="1"/>
      <c r="E27" s="1" t="s">
        <v>13</v>
      </c>
      <c r="F27" s="1"/>
      <c r="G27" s="3"/>
      <c r="H27" s="3"/>
      <c r="I27" s="3"/>
      <c r="J27" s="16"/>
      <c r="K27" s="16"/>
    </row>
    <row r="28" spans="1:11" x14ac:dyDescent="0.35">
      <c r="A28" s="1"/>
      <c r="B28" s="1"/>
      <c r="C28" s="1"/>
      <c r="D28" s="1"/>
      <c r="E28" s="1"/>
      <c r="F28" s="1" t="s">
        <v>76</v>
      </c>
      <c r="G28" s="3">
        <v>52500</v>
      </c>
      <c r="H28" s="3">
        <v>48500</v>
      </c>
      <c r="I28" s="3">
        <f>ROUND((G28-H28),5)</f>
        <v>4000</v>
      </c>
      <c r="J28" s="25">
        <f t="shared" si="2"/>
        <v>8.247422680412371E-2</v>
      </c>
      <c r="K28" s="16">
        <f>G28/$G$14</f>
        <v>4.0545988418521098E-2</v>
      </c>
    </row>
    <row r="29" spans="1:11" x14ac:dyDescent="0.35">
      <c r="A29" s="1"/>
      <c r="B29" s="1"/>
      <c r="C29" s="1"/>
      <c r="D29" s="1"/>
      <c r="E29" s="1"/>
      <c r="F29" s="1" t="s">
        <v>14</v>
      </c>
      <c r="G29" s="3">
        <f>(G30+G28)*0.09</f>
        <v>18112.5</v>
      </c>
      <c r="H29" s="3">
        <f>(H30+H28)*0.09</f>
        <v>16488</v>
      </c>
      <c r="I29" s="3">
        <f>ROUND((G29-H29),5)</f>
        <v>1624.5</v>
      </c>
      <c r="J29" s="16">
        <f t="shared" si="2"/>
        <v>9.8526200873362446E-2</v>
      </c>
      <c r="K29" s="16">
        <f>G29/$G$14</f>
        <v>1.3988366004389779E-2</v>
      </c>
    </row>
    <row r="30" spans="1:11" x14ac:dyDescent="0.35">
      <c r="A30" s="1"/>
      <c r="B30" s="1"/>
      <c r="C30" s="1"/>
      <c r="D30" s="1"/>
      <c r="E30" s="1"/>
      <c r="F30" s="1" t="s">
        <v>15</v>
      </c>
      <c r="G30" s="3">
        <v>148750</v>
      </c>
      <c r="H30" s="3">
        <v>134700</v>
      </c>
      <c r="I30" s="3">
        <f>ROUND((G30-H30),5)</f>
        <v>14050</v>
      </c>
      <c r="J30" s="16">
        <f t="shared" si="2"/>
        <v>0.10430586488492948</v>
      </c>
      <c r="K30" s="16">
        <f>G30/$G$14</f>
        <v>0.11488030051914311</v>
      </c>
    </row>
    <row r="31" spans="1:11" ht="15" thickBot="1" x14ac:dyDescent="0.4">
      <c r="A31" s="1"/>
      <c r="B31" s="1"/>
      <c r="C31" s="1"/>
      <c r="D31" s="1"/>
      <c r="E31" s="1"/>
      <c r="F31" s="1" t="s">
        <v>16</v>
      </c>
      <c r="G31" s="4">
        <v>212</v>
      </c>
      <c r="H31" s="4">
        <v>185</v>
      </c>
      <c r="I31" s="4">
        <f>ROUND((G31-H31),5)</f>
        <v>27</v>
      </c>
      <c r="J31" s="17">
        <f t="shared" si="2"/>
        <v>0.14594594594594595</v>
      </c>
      <c r="K31" s="17">
        <f>G31/$G$14</f>
        <v>1.6372856275669473E-4</v>
      </c>
    </row>
    <row r="32" spans="1:11" x14ac:dyDescent="0.35">
      <c r="A32" s="1"/>
      <c r="B32" s="1"/>
      <c r="C32" s="1"/>
      <c r="D32" s="1"/>
      <c r="E32" s="1" t="s">
        <v>17</v>
      </c>
      <c r="F32" s="1"/>
      <c r="G32" s="3">
        <f>ROUND(SUM(G27:G31),5)</f>
        <v>219574.5</v>
      </c>
      <c r="H32" s="3">
        <f>ROUND(SUM(H27:H31),5)</f>
        <v>199873</v>
      </c>
      <c r="I32" s="3">
        <f>ROUND((G32-H32),5)</f>
        <v>19701.5</v>
      </c>
      <c r="J32" s="16">
        <f t="shared" si="2"/>
        <v>9.8570092008425356E-2</v>
      </c>
      <c r="K32" s="16">
        <f>G32/$G$14</f>
        <v>0.16957838350481069</v>
      </c>
    </row>
    <row r="33" spans="1:11" x14ac:dyDescent="0.35">
      <c r="A33" s="1"/>
      <c r="B33" s="1"/>
      <c r="C33" s="1"/>
      <c r="D33" s="1"/>
      <c r="E33" s="1" t="s">
        <v>18</v>
      </c>
      <c r="F33" s="1"/>
      <c r="G33" s="3"/>
      <c r="H33" s="3"/>
      <c r="I33" s="3"/>
      <c r="J33" s="16"/>
      <c r="K33" s="16"/>
    </row>
    <row r="34" spans="1:11" x14ac:dyDescent="0.35">
      <c r="A34" s="1"/>
      <c r="B34" s="1"/>
      <c r="C34" s="1"/>
      <c r="D34" s="1"/>
      <c r="E34" s="1"/>
      <c r="F34" s="1" t="s">
        <v>75</v>
      </c>
      <c r="G34" s="3">
        <v>350</v>
      </c>
      <c r="H34" s="3">
        <v>425</v>
      </c>
      <c r="I34" s="3">
        <f t="shared" ref="I34:I41" si="5">ROUND((G34-H34),5)</f>
        <v>-75</v>
      </c>
      <c r="J34" s="16">
        <f t="shared" si="2"/>
        <v>-0.17647058823529413</v>
      </c>
      <c r="K34" s="16">
        <f t="shared" ref="K34:K41" si="6">G34/$G$14</f>
        <v>2.7030658945680731E-4</v>
      </c>
    </row>
    <row r="35" spans="1:11" x14ac:dyDescent="0.35">
      <c r="A35" s="1"/>
      <c r="B35" s="1"/>
      <c r="C35" s="1"/>
      <c r="D35" s="1"/>
      <c r="E35" s="1"/>
      <c r="F35" s="1" t="s">
        <v>77</v>
      </c>
      <c r="G35" s="3">
        <v>12220</v>
      </c>
      <c r="H35" s="3">
        <v>18750</v>
      </c>
      <c r="I35" s="3">
        <f t="shared" si="5"/>
        <v>-6530</v>
      </c>
      <c r="J35" s="16">
        <f t="shared" si="2"/>
        <v>-0.34826666666666667</v>
      </c>
      <c r="K35" s="16">
        <f t="shared" si="6"/>
        <v>9.4375614947491016E-3</v>
      </c>
    </row>
    <row r="36" spans="1:11" x14ac:dyDescent="0.35">
      <c r="A36" s="1"/>
      <c r="B36" s="1"/>
      <c r="C36" s="1"/>
      <c r="D36" s="1"/>
      <c r="E36" s="1"/>
      <c r="F36" s="1" t="s">
        <v>84</v>
      </c>
      <c r="G36" s="3">
        <v>1485</v>
      </c>
      <c r="H36" s="3">
        <v>1256</v>
      </c>
      <c r="I36" s="3">
        <f t="shared" si="5"/>
        <v>229</v>
      </c>
      <c r="J36" s="16">
        <f t="shared" si="2"/>
        <v>0.1823248407643312</v>
      </c>
      <c r="K36" s="16">
        <f t="shared" si="6"/>
        <v>1.1468722438381681E-3</v>
      </c>
    </row>
    <row r="37" spans="1:11" x14ac:dyDescent="0.35">
      <c r="A37" s="1"/>
      <c r="B37" s="1"/>
      <c r="C37" s="1"/>
      <c r="D37" s="1"/>
      <c r="E37" s="1"/>
      <c r="F37" s="1" t="s">
        <v>80</v>
      </c>
      <c r="G37" s="3">
        <v>10750</v>
      </c>
      <c r="H37" s="3">
        <v>6840</v>
      </c>
      <c r="I37" s="3">
        <f t="shared" si="5"/>
        <v>3910</v>
      </c>
      <c r="J37" s="16">
        <f t="shared" si="2"/>
        <v>0.57163742690058483</v>
      </c>
      <c r="K37" s="16">
        <f t="shared" si="6"/>
        <v>8.3022738190305107E-3</v>
      </c>
    </row>
    <row r="38" spans="1:11" x14ac:dyDescent="0.35">
      <c r="A38" s="1"/>
      <c r="B38" s="1"/>
      <c r="C38" s="1"/>
      <c r="D38" s="1"/>
      <c r="E38" s="1"/>
      <c r="F38" s="1" t="s">
        <v>78</v>
      </c>
      <c r="G38" s="3">
        <v>625</v>
      </c>
      <c r="H38" s="3">
        <v>1250</v>
      </c>
      <c r="I38" s="3">
        <f t="shared" si="5"/>
        <v>-625</v>
      </c>
      <c r="J38" s="16">
        <f t="shared" si="2"/>
        <v>-0.5</v>
      </c>
      <c r="K38" s="16">
        <f t="shared" si="6"/>
        <v>4.8269033831572735E-4</v>
      </c>
    </row>
    <row r="39" spans="1:11" x14ac:dyDescent="0.35">
      <c r="A39" s="1"/>
      <c r="B39" s="1"/>
      <c r="C39" s="1"/>
      <c r="D39" s="1"/>
      <c r="E39" s="1"/>
      <c r="F39" s="1" t="s">
        <v>19</v>
      </c>
      <c r="G39" s="3">
        <v>5400</v>
      </c>
      <c r="H39" s="3">
        <v>7200</v>
      </c>
      <c r="I39" s="3">
        <f t="shared" si="5"/>
        <v>-1800</v>
      </c>
      <c r="J39" s="16">
        <f t="shared" si="2"/>
        <v>-0.25</v>
      </c>
      <c r="K39" s="16">
        <f t="shared" si="6"/>
        <v>4.1704445230478842E-3</v>
      </c>
    </row>
    <row r="40" spans="1:11" ht="15" thickBot="1" x14ac:dyDescent="0.4">
      <c r="A40" s="1"/>
      <c r="B40" s="1"/>
      <c r="C40" s="1"/>
      <c r="D40" s="1"/>
      <c r="E40" s="1"/>
      <c r="F40" s="1" t="s">
        <v>79</v>
      </c>
      <c r="G40" s="4">
        <v>5150</v>
      </c>
      <c r="H40" s="4">
        <v>2500</v>
      </c>
      <c r="I40" s="4">
        <f t="shared" si="5"/>
        <v>2650</v>
      </c>
      <c r="J40" s="17">
        <f t="shared" si="2"/>
        <v>1.06</v>
      </c>
      <c r="K40" s="17">
        <f t="shared" si="6"/>
        <v>3.9773683877215938E-3</v>
      </c>
    </row>
    <row r="41" spans="1:11" x14ac:dyDescent="0.35">
      <c r="A41" s="1"/>
      <c r="B41" s="1"/>
      <c r="C41" s="1"/>
      <c r="D41" s="1"/>
      <c r="E41" s="1" t="s">
        <v>20</v>
      </c>
      <c r="F41" s="1"/>
      <c r="G41" s="3">
        <f>ROUND(SUM(G33:G40),5)</f>
        <v>35980</v>
      </c>
      <c r="H41" s="3">
        <f>ROUND(SUM(H33:H40),5)</f>
        <v>38221</v>
      </c>
      <c r="I41" s="3">
        <f t="shared" si="5"/>
        <v>-2241</v>
      </c>
      <c r="J41" s="16">
        <f t="shared" si="2"/>
        <v>-5.8632688835980218E-2</v>
      </c>
      <c r="K41" s="16">
        <f t="shared" si="6"/>
        <v>2.7787517396159794E-2</v>
      </c>
    </row>
    <row r="42" spans="1:11" x14ac:dyDescent="0.35">
      <c r="A42" s="1"/>
      <c r="B42" s="1"/>
      <c r="C42" s="1"/>
      <c r="D42" s="1"/>
      <c r="E42" s="1" t="s">
        <v>21</v>
      </c>
      <c r="F42" s="1"/>
      <c r="G42" s="3"/>
      <c r="H42" s="3"/>
      <c r="I42" s="3"/>
      <c r="J42" s="16"/>
      <c r="K42" s="16"/>
    </row>
    <row r="43" spans="1:11" x14ac:dyDescent="0.35">
      <c r="A43" s="1"/>
      <c r="B43" s="1"/>
      <c r="C43" s="1"/>
      <c r="D43" s="1"/>
      <c r="E43" s="1"/>
      <c r="F43" s="1" t="s">
        <v>22</v>
      </c>
      <c r="G43" s="3">
        <v>1315</v>
      </c>
      <c r="H43" s="3">
        <v>1275</v>
      </c>
      <c r="I43" s="3">
        <f t="shared" ref="I43:I50" si="7">ROUND((G43-H43),5)</f>
        <v>40</v>
      </c>
      <c r="J43" s="16">
        <f t="shared" si="2"/>
        <v>3.1372549019607843E-2</v>
      </c>
      <c r="K43" s="16">
        <f t="shared" ref="K43:K50" si="8">G43/$G$14</f>
        <v>1.0155804718162903E-3</v>
      </c>
    </row>
    <row r="44" spans="1:11" x14ac:dyDescent="0.35">
      <c r="A44" s="1"/>
      <c r="B44" s="1"/>
      <c r="C44" s="1"/>
      <c r="D44" s="1"/>
      <c r="E44" s="1"/>
      <c r="F44" s="1" t="s">
        <v>23</v>
      </c>
      <c r="G44" s="3">
        <v>1272</v>
      </c>
      <c r="H44" s="3">
        <v>1087</v>
      </c>
      <c r="I44" s="3">
        <f t="shared" si="7"/>
        <v>185</v>
      </c>
      <c r="J44" s="16">
        <f t="shared" si="2"/>
        <v>0.17019319227230911</v>
      </c>
      <c r="K44" s="16">
        <f t="shared" si="8"/>
        <v>9.823713765401683E-4</v>
      </c>
    </row>
    <row r="45" spans="1:11" x14ac:dyDescent="0.35">
      <c r="A45" s="1"/>
      <c r="B45" s="1"/>
      <c r="C45" s="1"/>
      <c r="D45" s="1"/>
      <c r="E45" s="1"/>
      <c r="F45" s="1" t="s">
        <v>24</v>
      </c>
      <c r="G45" s="3">
        <v>456</v>
      </c>
      <c r="H45" s="3">
        <v>854</v>
      </c>
      <c r="I45" s="3">
        <f t="shared" si="7"/>
        <v>-398</v>
      </c>
      <c r="J45" s="16">
        <f t="shared" si="2"/>
        <v>-0.46604215456674475</v>
      </c>
      <c r="K45" s="16">
        <f t="shared" si="8"/>
        <v>3.521708708351547E-4</v>
      </c>
    </row>
    <row r="46" spans="1:11" ht="15" thickBot="1" x14ac:dyDescent="0.4">
      <c r="A46" s="1"/>
      <c r="B46" s="1"/>
      <c r="C46" s="1"/>
      <c r="D46" s="1"/>
      <c r="E46" s="1"/>
      <c r="F46" s="1" t="s">
        <v>25</v>
      </c>
      <c r="G46" s="4">
        <v>82</v>
      </c>
      <c r="H46" s="4">
        <v>129</v>
      </c>
      <c r="I46" s="4">
        <f t="shared" si="7"/>
        <v>-47</v>
      </c>
      <c r="J46" s="17">
        <f t="shared" si="2"/>
        <v>-0.36434108527131781</v>
      </c>
      <c r="K46" s="17">
        <f t="shared" si="8"/>
        <v>6.3328972387023428E-5</v>
      </c>
    </row>
    <row r="47" spans="1:11" x14ac:dyDescent="0.35">
      <c r="A47" s="1"/>
      <c r="B47" s="1"/>
      <c r="C47" s="1"/>
      <c r="D47" s="1"/>
      <c r="E47" s="1" t="s">
        <v>26</v>
      </c>
      <c r="F47" s="1"/>
      <c r="G47" s="3">
        <f>ROUND(SUM(G42:G46),5)</f>
        <v>3125</v>
      </c>
      <c r="H47" s="3">
        <f>ROUND(SUM(H42:H46),5)</f>
        <v>3345</v>
      </c>
      <c r="I47" s="3">
        <f t="shared" si="7"/>
        <v>-220</v>
      </c>
      <c r="J47" s="16">
        <f t="shared" si="2"/>
        <v>-6.5769805680119586E-2</v>
      </c>
      <c r="K47" s="16">
        <f t="shared" si="8"/>
        <v>2.4134516915786369E-3</v>
      </c>
    </row>
    <row r="48" spans="1:11" x14ac:dyDescent="0.35">
      <c r="A48" s="1"/>
      <c r="B48" s="1"/>
      <c r="C48" s="1"/>
      <c r="D48" s="1"/>
      <c r="E48" s="1" t="s">
        <v>27</v>
      </c>
      <c r="F48" s="1"/>
      <c r="G48" s="3">
        <v>31</v>
      </c>
      <c r="H48" s="3">
        <v>45</v>
      </c>
      <c r="I48" s="3">
        <f t="shared" si="7"/>
        <v>-14</v>
      </c>
      <c r="J48" s="16">
        <f t="shared" si="2"/>
        <v>-0.31111111111111112</v>
      </c>
      <c r="K48" s="16">
        <f t="shared" si="8"/>
        <v>2.3941440780460078E-5</v>
      </c>
    </row>
    <row r="49" spans="1:11" x14ac:dyDescent="0.35">
      <c r="A49" s="1"/>
      <c r="B49" s="1"/>
      <c r="C49" s="1"/>
      <c r="D49" s="1"/>
      <c r="E49" s="1" t="s">
        <v>28</v>
      </c>
      <c r="F49" s="1"/>
      <c r="G49" s="3">
        <v>250</v>
      </c>
      <c r="H49" s="3">
        <v>250</v>
      </c>
      <c r="I49" s="3">
        <f t="shared" si="7"/>
        <v>0</v>
      </c>
      <c r="J49" s="16">
        <f t="shared" si="2"/>
        <v>0</v>
      </c>
      <c r="K49" s="16">
        <f t="shared" si="8"/>
        <v>1.9307613532629095E-4</v>
      </c>
    </row>
    <row r="50" spans="1:11" x14ac:dyDescent="0.35">
      <c r="A50" s="1"/>
      <c r="B50" s="1"/>
      <c r="C50" s="1"/>
      <c r="D50" s="1"/>
      <c r="E50" s="1" t="s">
        <v>29</v>
      </c>
      <c r="F50" s="1"/>
      <c r="G50" s="3">
        <v>216</v>
      </c>
      <c r="H50" s="3">
        <v>184</v>
      </c>
      <c r="I50" s="3">
        <f t="shared" si="7"/>
        <v>32</v>
      </c>
      <c r="J50" s="16">
        <f t="shared" si="2"/>
        <v>0.17391304347826086</v>
      </c>
      <c r="K50" s="16">
        <f t="shared" si="8"/>
        <v>1.6681778092191539E-4</v>
      </c>
    </row>
    <row r="51" spans="1:11" x14ac:dyDescent="0.35">
      <c r="A51" s="1"/>
      <c r="B51" s="1"/>
      <c r="C51" s="1"/>
      <c r="D51" s="1"/>
      <c r="E51" s="1" t="s">
        <v>30</v>
      </c>
      <c r="F51" s="1"/>
      <c r="G51" s="3"/>
      <c r="H51" s="3"/>
      <c r="I51" s="3"/>
      <c r="J51" s="16"/>
      <c r="K51" s="16"/>
    </row>
    <row r="52" spans="1:11" x14ac:dyDescent="0.35">
      <c r="A52" s="1"/>
      <c r="B52" s="1"/>
      <c r="C52" s="1"/>
      <c r="D52" s="1"/>
      <c r="E52" s="1"/>
      <c r="F52" s="1" t="s">
        <v>31</v>
      </c>
      <c r="G52" s="3">
        <v>1250</v>
      </c>
      <c r="H52" s="3">
        <v>125</v>
      </c>
      <c r="I52" s="3">
        <f t="shared" ref="I52:I58" si="9">ROUND((G52-H52),5)</f>
        <v>1125</v>
      </c>
      <c r="J52" s="16">
        <f t="shared" si="2"/>
        <v>9</v>
      </c>
      <c r="K52" s="16">
        <f t="shared" ref="K52:K58" si="10">G52/$G$14</f>
        <v>9.653806766314547E-4</v>
      </c>
    </row>
    <row r="53" spans="1:11" x14ac:dyDescent="0.35">
      <c r="A53" s="1"/>
      <c r="B53" s="1"/>
      <c r="C53" s="1"/>
      <c r="D53" s="1"/>
      <c r="E53" s="1"/>
      <c r="F53" s="1" t="s">
        <v>32</v>
      </c>
      <c r="G53" s="3">
        <v>250</v>
      </c>
      <c r="H53" s="3">
        <v>1750</v>
      </c>
      <c r="I53" s="3">
        <f t="shared" si="9"/>
        <v>-1500</v>
      </c>
      <c r="J53" s="16">
        <f t="shared" si="2"/>
        <v>-0.8571428571428571</v>
      </c>
      <c r="K53" s="16">
        <f t="shared" si="10"/>
        <v>1.9307613532629095E-4</v>
      </c>
    </row>
    <row r="54" spans="1:11" x14ac:dyDescent="0.35">
      <c r="A54" s="1"/>
      <c r="B54" s="1"/>
      <c r="C54" s="1"/>
      <c r="D54" s="1"/>
      <c r="E54" s="1"/>
      <c r="F54" s="1" t="s">
        <v>33</v>
      </c>
      <c r="G54" s="3">
        <v>1956</v>
      </c>
      <c r="H54" s="3">
        <v>1900</v>
      </c>
      <c r="I54" s="3">
        <f t="shared" si="9"/>
        <v>56</v>
      </c>
      <c r="J54" s="16">
        <f t="shared" si="2"/>
        <v>2.9473684210526315E-2</v>
      </c>
      <c r="K54" s="16">
        <f t="shared" si="10"/>
        <v>1.5106276827929004E-3</v>
      </c>
    </row>
    <row r="55" spans="1:11" ht="15" thickBot="1" x14ac:dyDescent="0.4">
      <c r="A55" s="1"/>
      <c r="B55" s="1"/>
      <c r="C55" s="1"/>
      <c r="D55" s="1"/>
      <c r="E55" s="1"/>
      <c r="F55" s="1" t="s">
        <v>34</v>
      </c>
      <c r="G55" s="4">
        <v>689</v>
      </c>
      <c r="H55" s="4">
        <v>634</v>
      </c>
      <c r="I55" s="4">
        <f t="shared" si="9"/>
        <v>55</v>
      </c>
      <c r="J55" s="17">
        <f t="shared" si="2"/>
        <v>8.6750788643533125E-2</v>
      </c>
      <c r="K55" s="17">
        <f t="shared" si="10"/>
        <v>5.3211782895925782E-4</v>
      </c>
    </row>
    <row r="56" spans="1:11" x14ac:dyDescent="0.35">
      <c r="A56" s="1"/>
      <c r="B56" s="1"/>
      <c r="C56" s="1"/>
      <c r="D56" s="1"/>
      <c r="E56" s="1" t="s">
        <v>35</v>
      </c>
      <c r="F56" s="1"/>
      <c r="G56" s="3">
        <f>ROUND(SUM(G51:G55),5)</f>
        <v>4145</v>
      </c>
      <c r="H56" s="3">
        <f>ROUND(SUM(H51:H55),5)</f>
        <v>4409</v>
      </c>
      <c r="I56" s="3">
        <f t="shared" si="9"/>
        <v>-264</v>
      </c>
      <c r="J56" s="16">
        <f t="shared" si="2"/>
        <v>-5.987752324790202E-2</v>
      </c>
      <c r="K56" s="16">
        <f t="shared" si="10"/>
        <v>3.2012023237099037E-3</v>
      </c>
    </row>
    <row r="57" spans="1:11" x14ac:dyDescent="0.35">
      <c r="A57" s="1"/>
      <c r="B57" s="1"/>
      <c r="C57" s="1"/>
      <c r="D57" s="1"/>
      <c r="E57" s="1" t="s">
        <v>36</v>
      </c>
      <c r="F57" s="1"/>
      <c r="G57" s="3">
        <v>28243.236000000001</v>
      </c>
      <c r="H57" s="3">
        <v>27740.412</v>
      </c>
      <c r="I57" s="3">
        <f t="shared" si="9"/>
        <v>502.82400000000001</v>
      </c>
      <c r="J57" s="16">
        <f t="shared" si="2"/>
        <v>1.8126046577822998E-2</v>
      </c>
      <c r="K57" s="16">
        <f t="shared" si="10"/>
        <v>2.181237942395349E-2</v>
      </c>
    </row>
    <row r="58" spans="1:11" x14ac:dyDescent="0.35">
      <c r="A58" s="1"/>
      <c r="B58" s="1"/>
      <c r="C58" s="1"/>
      <c r="D58" s="1"/>
      <c r="E58" s="1" t="s">
        <v>37</v>
      </c>
      <c r="F58" s="1"/>
      <c r="G58" s="3">
        <v>550</v>
      </c>
      <c r="H58" s="3">
        <v>745</v>
      </c>
      <c r="I58" s="3">
        <f t="shared" si="9"/>
        <v>-195</v>
      </c>
      <c r="J58" s="16">
        <f t="shared" si="2"/>
        <v>-0.26174496644295303</v>
      </c>
      <c r="K58" s="16">
        <f t="shared" si="10"/>
        <v>4.2476749771784008E-4</v>
      </c>
    </row>
    <row r="59" spans="1:11" x14ac:dyDescent="0.35">
      <c r="A59" s="1"/>
      <c r="B59" s="1"/>
      <c r="C59" s="1"/>
      <c r="D59" s="1"/>
      <c r="E59" s="1" t="s">
        <v>85</v>
      </c>
      <c r="F59" s="1"/>
      <c r="G59" s="3">
        <f>(G11*0.975)-9059</f>
        <v>15979</v>
      </c>
      <c r="H59" s="3">
        <f>(H11*0.85)-8750</f>
        <v>17727.5</v>
      </c>
      <c r="I59" s="3">
        <f t="shared" ref="I59" si="11">ROUND((G59-H59),5)</f>
        <v>-1748.5</v>
      </c>
      <c r="J59" s="16">
        <f t="shared" ref="J59" si="12">I59/H59</f>
        <v>-9.863206881963052E-2</v>
      </c>
      <c r="K59" s="16">
        <f t="shared" ref="K59" si="13">G59/$G$14</f>
        <v>1.2340654265515212E-2</v>
      </c>
    </row>
    <row r="60" spans="1:11" x14ac:dyDescent="0.35">
      <c r="A60" s="1"/>
      <c r="B60" s="1"/>
      <c r="C60" s="1"/>
      <c r="D60" s="1"/>
      <c r="E60" s="1" t="s">
        <v>86</v>
      </c>
      <c r="F60" s="1"/>
      <c r="G60" s="3">
        <v>16745</v>
      </c>
      <c r="H60" s="3">
        <v>18981</v>
      </c>
      <c r="I60" s="3">
        <f t="shared" ref="I60" si="14">ROUND((G60-H60),5)</f>
        <v>-2236</v>
      </c>
      <c r="J60" s="16">
        <f t="shared" ref="J60" si="15">I60/H60</f>
        <v>-0.11780201253885464</v>
      </c>
      <c r="K60" s="16">
        <f t="shared" ref="K60" si="16">G60/$G$14</f>
        <v>1.2932239544154968E-2</v>
      </c>
    </row>
    <row r="61" spans="1:11" x14ac:dyDescent="0.35">
      <c r="A61" s="1"/>
      <c r="B61" s="1"/>
      <c r="C61" s="1"/>
      <c r="D61" s="1"/>
      <c r="E61" s="1" t="s">
        <v>38</v>
      </c>
      <c r="F61" s="1"/>
      <c r="G61" s="3">
        <v>7389</v>
      </c>
      <c r="H61" s="3">
        <v>6125</v>
      </c>
      <c r="I61" s="24">
        <f t="shared" ref="I61:I65" si="17">ROUND((G61-H61),5)</f>
        <v>1264</v>
      </c>
      <c r="J61" s="16">
        <f t="shared" si="2"/>
        <v>0.20636734693877551</v>
      </c>
      <c r="K61" s="16">
        <f t="shared" ref="K61:K65" si="18">G61/$G$14</f>
        <v>5.7065582557038553E-3</v>
      </c>
    </row>
    <row r="62" spans="1:11" x14ac:dyDescent="0.35">
      <c r="A62" s="1"/>
      <c r="B62" s="1"/>
      <c r="C62" s="1"/>
      <c r="D62" s="1"/>
      <c r="E62" s="1" t="s">
        <v>39</v>
      </c>
      <c r="F62" s="1"/>
      <c r="G62" s="3">
        <v>2489</v>
      </c>
      <c r="H62" s="3">
        <v>2157</v>
      </c>
      <c r="I62" s="3">
        <f t="shared" si="17"/>
        <v>332</v>
      </c>
      <c r="J62" s="16">
        <f t="shared" si="2"/>
        <v>0.15391747797867408</v>
      </c>
      <c r="K62" s="16">
        <f t="shared" si="18"/>
        <v>1.9222660033085526E-3</v>
      </c>
    </row>
    <row r="63" spans="1:11" x14ac:dyDescent="0.35">
      <c r="A63" s="1"/>
      <c r="B63" s="1"/>
      <c r="C63" s="1"/>
      <c r="D63" s="1"/>
      <c r="E63" s="1" t="s">
        <v>40</v>
      </c>
      <c r="F63" s="1"/>
      <c r="G63" s="3">
        <v>12589</v>
      </c>
      <c r="H63" s="3">
        <v>11325</v>
      </c>
      <c r="I63" s="24">
        <f t="shared" si="17"/>
        <v>1264</v>
      </c>
      <c r="J63" s="16">
        <f t="shared" si="2"/>
        <v>0.11161147902869757</v>
      </c>
      <c r="K63" s="16">
        <f t="shared" si="18"/>
        <v>9.7225418704907068E-3</v>
      </c>
    </row>
    <row r="64" spans="1:11" x14ac:dyDescent="0.35">
      <c r="A64" s="1"/>
      <c r="B64" s="1"/>
      <c r="C64" s="1"/>
      <c r="D64" s="1"/>
      <c r="E64" s="1" t="s">
        <v>41</v>
      </c>
      <c r="F64" s="1"/>
      <c r="G64" s="3">
        <v>634</v>
      </c>
      <c r="H64" s="3">
        <v>538</v>
      </c>
      <c r="I64" s="3">
        <f t="shared" si="17"/>
        <v>96</v>
      </c>
      <c r="J64" s="16">
        <f t="shared" si="2"/>
        <v>0.17843866171003717</v>
      </c>
      <c r="K64" s="16">
        <f t="shared" si="18"/>
        <v>4.8964107918747382E-4</v>
      </c>
    </row>
    <row r="65" spans="1:11" x14ac:dyDescent="0.35">
      <c r="A65" s="1"/>
      <c r="B65" s="1"/>
      <c r="C65" s="1"/>
      <c r="D65" s="1"/>
      <c r="E65" s="1" t="s">
        <v>81</v>
      </c>
      <c r="F65" s="1"/>
      <c r="G65" s="3">
        <v>1200</v>
      </c>
      <c r="H65" s="3">
        <v>1200</v>
      </c>
      <c r="I65" s="3">
        <f t="shared" si="17"/>
        <v>0</v>
      </c>
      <c r="J65" s="16">
        <f t="shared" si="2"/>
        <v>0</v>
      </c>
      <c r="K65" s="16">
        <f t="shared" si="18"/>
        <v>9.2676544956619652E-4</v>
      </c>
    </row>
    <row r="66" spans="1:11" x14ac:dyDescent="0.35">
      <c r="A66" s="1"/>
      <c r="B66" s="1"/>
      <c r="C66" s="1"/>
      <c r="D66" s="1"/>
      <c r="E66" s="1" t="s">
        <v>42</v>
      </c>
      <c r="F66" s="1"/>
      <c r="G66" s="3"/>
      <c r="H66" s="3"/>
      <c r="I66" s="3"/>
      <c r="J66" s="16"/>
      <c r="K66" s="16"/>
    </row>
    <row r="67" spans="1:11" x14ac:dyDescent="0.35">
      <c r="A67" s="1"/>
      <c r="B67" s="1"/>
      <c r="C67" s="1"/>
      <c r="D67" s="1"/>
      <c r="E67" s="1"/>
      <c r="F67" s="1" t="s">
        <v>43</v>
      </c>
      <c r="G67" s="3">
        <v>7500</v>
      </c>
      <c r="H67" s="3">
        <v>6750</v>
      </c>
      <c r="I67" s="3">
        <f t="shared" ref="I67:I72" si="19">ROUND((G67-H67),5)</f>
        <v>750</v>
      </c>
      <c r="J67" s="16">
        <f t="shared" si="2"/>
        <v>0.1111111111111111</v>
      </c>
      <c r="K67" s="16">
        <f t="shared" ref="K67:K72" si="20">G67/$G$14</f>
        <v>5.7922840597887286E-3</v>
      </c>
    </row>
    <row r="68" spans="1:11" x14ac:dyDescent="0.35">
      <c r="A68" s="1"/>
      <c r="B68" s="1"/>
      <c r="C68" s="1"/>
      <c r="D68" s="1"/>
      <c r="E68" s="1"/>
      <c r="F68" s="1" t="s">
        <v>44</v>
      </c>
      <c r="G68" s="3">
        <v>14000</v>
      </c>
      <c r="H68" s="3">
        <v>7000</v>
      </c>
      <c r="I68" s="3">
        <f t="shared" si="19"/>
        <v>7000</v>
      </c>
      <c r="J68" s="16">
        <f t="shared" si="2"/>
        <v>1</v>
      </c>
      <c r="K68" s="16">
        <f t="shared" si="20"/>
        <v>1.0812263578272294E-2</v>
      </c>
    </row>
    <row r="69" spans="1:11" ht="15" thickBot="1" x14ac:dyDescent="0.4">
      <c r="A69" s="1"/>
      <c r="B69" s="1"/>
      <c r="C69" s="1"/>
      <c r="D69" s="1"/>
      <c r="E69" s="1"/>
      <c r="F69" s="1" t="s">
        <v>45</v>
      </c>
      <c r="G69" s="4">
        <v>2400</v>
      </c>
      <c r="H69" s="4">
        <v>0</v>
      </c>
      <c r="I69" s="4">
        <f t="shared" si="19"/>
        <v>2400</v>
      </c>
      <c r="J69" s="17">
        <f>IFERROR(I69/H69,0)</f>
        <v>0</v>
      </c>
      <c r="K69" s="17">
        <f t="shared" si="20"/>
        <v>1.853530899132393E-3</v>
      </c>
    </row>
    <row r="70" spans="1:11" x14ac:dyDescent="0.35">
      <c r="A70" s="1"/>
      <c r="B70" s="1"/>
      <c r="C70" s="1"/>
      <c r="D70" s="1"/>
      <c r="E70" s="1" t="s">
        <v>46</v>
      </c>
      <c r="F70" s="1"/>
      <c r="G70" s="3">
        <f>ROUND(SUM(G66:G69),5)</f>
        <v>23900</v>
      </c>
      <c r="H70" s="3">
        <f>ROUND(SUM(H66:H69),5)</f>
        <v>13750</v>
      </c>
      <c r="I70" s="3">
        <f t="shared" si="19"/>
        <v>10150</v>
      </c>
      <c r="J70" s="16">
        <f t="shared" ref="J70:J92" si="21">I70/H70</f>
        <v>0.73818181818181816</v>
      </c>
      <c r="K70" s="16">
        <f t="shared" si="20"/>
        <v>1.8458078537193414E-2</v>
      </c>
    </row>
    <row r="71" spans="1:11" x14ac:dyDescent="0.35">
      <c r="A71" s="1"/>
      <c r="B71" s="1"/>
      <c r="C71" s="1"/>
      <c r="D71" s="1"/>
      <c r="E71" s="1" t="s">
        <v>47</v>
      </c>
      <c r="F71" s="1"/>
      <c r="G71" s="3">
        <v>81500</v>
      </c>
      <c r="H71" s="3">
        <v>77500</v>
      </c>
      <c r="I71" s="3">
        <f t="shared" si="19"/>
        <v>4000</v>
      </c>
      <c r="J71" s="16">
        <f t="shared" si="21"/>
        <v>5.1612903225806452E-2</v>
      </c>
      <c r="K71" s="16">
        <f t="shared" si="20"/>
        <v>6.2942820116370854E-2</v>
      </c>
    </row>
    <row r="72" spans="1:11" x14ac:dyDescent="0.35">
      <c r="A72" s="1"/>
      <c r="B72" s="1"/>
      <c r="C72" s="1"/>
      <c r="D72" s="1"/>
      <c r="E72" s="1" t="s">
        <v>48</v>
      </c>
      <c r="F72" s="1"/>
      <c r="G72" s="3">
        <v>2167</v>
      </c>
      <c r="H72" s="3">
        <v>1845</v>
      </c>
      <c r="I72" s="3">
        <f t="shared" si="19"/>
        <v>322</v>
      </c>
      <c r="J72" s="16">
        <f t="shared" si="21"/>
        <v>0.17452574525745257</v>
      </c>
      <c r="K72" s="16">
        <f t="shared" si="20"/>
        <v>1.6735839410082899E-3</v>
      </c>
    </row>
    <row r="73" spans="1:11" x14ac:dyDescent="0.35">
      <c r="A73" s="1"/>
      <c r="B73" s="1"/>
      <c r="C73" s="1"/>
      <c r="D73" s="1"/>
      <c r="E73" s="1" t="s">
        <v>49</v>
      </c>
      <c r="F73" s="1"/>
      <c r="G73" s="3"/>
      <c r="H73" s="3"/>
      <c r="I73" s="3"/>
      <c r="J73" s="16"/>
      <c r="K73" s="16"/>
    </row>
    <row r="74" spans="1:11" x14ac:dyDescent="0.35">
      <c r="A74" s="1"/>
      <c r="B74" s="1"/>
      <c r="C74" s="1"/>
      <c r="D74" s="1"/>
      <c r="E74" s="1"/>
      <c r="F74" s="1" t="s">
        <v>50</v>
      </c>
      <c r="G74" s="3">
        <v>3406</v>
      </c>
      <c r="H74" s="3">
        <v>3345</v>
      </c>
      <c r="I74" s="3">
        <f t="shared" ref="I74:I80" si="22">ROUND((G74-H74),5)</f>
        <v>61</v>
      </c>
      <c r="J74" s="16">
        <f t="shared" si="21"/>
        <v>1.8236173393124066E-2</v>
      </c>
      <c r="K74" s="16">
        <f t="shared" ref="K74:K80" si="23">G74/$G$14</f>
        <v>2.630469267685388E-3</v>
      </c>
    </row>
    <row r="75" spans="1:11" ht="15" thickBot="1" x14ac:dyDescent="0.4">
      <c r="A75" s="1"/>
      <c r="B75" s="1"/>
      <c r="C75" s="1"/>
      <c r="D75" s="1"/>
      <c r="E75" s="1"/>
      <c r="F75" s="1" t="s">
        <v>82</v>
      </c>
      <c r="G75" s="4">
        <v>0</v>
      </c>
      <c r="H75" s="4">
        <v>0</v>
      </c>
      <c r="I75" s="4">
        <f t="shared" si="22"/>
        <v>0</v>
      </c>
      <c r="J75" s="17">
        <f>IFERROR(I75/H75,0)</f>
        <v>0</v>
      </c>
      <c r="K75" s="17">
        <f t="shared" si="23"/>
        <v>0</v>
      </c>
    </row>
    <row r="76" spans="1:11" x14ac:dyDescent="0.35">
      <c r="A76" s="1"/>
      <c r="B76" s="1"/>
      <c r="C76" s="1"/>
      <c r="D76" s="1"/>
      <c r="E76" s="1" t="s">
        <v>51</v>
      </c>
      <c r="F76" s="1"/>
      <c r="G76" s="3">
        <f>ROUND(SUM(G73:G75),5)</f>
        <v>3406</v>
      </c>
      <c r="H76" s="3">
        <f>ROUND(SUM(H73:H75),5)</f>
        <v>3345</v>
      </c>
      <c r="I76" s="3">
        <f t="shared" si="22"/>
        <v>61</v>
      </c>
      <c r="J76" s="16">
        <f t="shared" si="21"/>
        <v>1.8236173393124066E-2</v>
      </c>
      <c r="K76" s="16">
        <f t="shared" si="23"/>
        <v>2.630469267685388E-3</v>
      </c>
    </row>
    <row r="77" spans="1:11" x14ac:dyDescent="0.35">
      <c r="A77" s="1"/>
      <c r="B77" s="1"/>
      <c r="C77" s="1"/>
      <c r="D77" s="1"/>
      <c r="E77" s="1" t="s">
        <v>83</v>
      </c>
      <c r="F77" s="1"/>
      <c r="G77" s="3">
        <v>2975</v>
      </c>
      <c r="H77" s="3">
        <v>1767</v>
      </c>
      <c r="I77" s="3">
        <f t="shared" si="22"/>
        <v>1208</v>
      </c>
      <c r="J77" s="16">
        <f t="shared" si="21"/>
        <v>0.68364459535936617</v>
      </c>
      <c r="K77" s="16">
        <f t="shared" si="23"/>
        <v>2.2976060103828623E-3</v>
      </c>
    </row>
    <row r="78" spans="1:11" ht="15" thickBot="1" x14ac:dyDescent="0.4">
      <c r="A78" s="1"/>
      <c r="B78" s="1"/>
      <c r="C78" s="1"/>
      <c r="D78" s="1"/>
      <c r="E78" s="1" t="s">
        <v>52</v>
      </c>
      <c r="F78" s="1"/>
      <c r="G78" s="5">
        <v>8767</v>
      </c>
      <c r="H78" s="5">
        <v>8250</v>
      </c>
      <c r="I78" s="5">
        <f t="shared" si="22"/>
        <v>517</v>
      </c>
      <c r="J78" s="18">
        <f t="shared" si="21"/>
        <v>6.2666666666666662E-2</v>
      </c>
      <c r="K78" s="18">
        <f t="shared" si="23"/>
        <v>6.7707939136223711E-3</v>
      </c>
    </row>
    <row r="79" spans="1:11" ht="15" thickBot="1" x14ac:dyDescent="0.4">
      <c r="A79" s="1"/>
      <c r="B79" s="1"/>
      <c r="C79" s="1"/>
      <c r="D79" s="1" t="s">
        <v>53</v>
      </c>
      <c r="E79" s="1"/>
      <c r="F79" s="1"/>
      <c r="G79" s="6">
        <f>ROUND(SUM(G24:G26)+G32+G41+SUM(G47:G50)+SUM(G56:G58)+SUM(G59:G60)+SUM(G61:G65)+SUM(G70:G72)+SUM(G76:G78),5)</f>
        <v>473054.73599999998</v>
      </c>
      <c r="H79" s="6">
        <f>ROUND(SUM(H24:H26)+H32+H41+SUM(H47:H50)+SUM(H56:H58)+SUM(H59:H60)+SUM(H61:H65)+SUM(H70:H72)+SUM(H76:H78),5)</f>
        <v>440172.91200000001</v>
      </c>
      <c r="I79" s="6">
        <f t="shared" si="22"/>
        <v>32881.824000000001</v>
      </c>
      <c r="J79" s="19">
        <f t="shared" si="21"/>
        <v>7.4702061629816963E-2</v>
      </c>
      <c r="K79" s="19">
        <f t="shared" si="23"/>
        <v>0.36534232089871532</v>
      </c>
    </row>
    <row r="80" spans="1:11" x14ac:dyDescent="0.35">
      <c r="A80" s="1"/>
      <c r="B80" s="1" t="s">
        <v>54</v>
      </c>
      <c r="C80" s="1"/>
      <c r="D80" s="1"/>
      <c r="E80" s="1"/>
      <c r="F80" s="1"/>
      <c r="G80" s="3">
        <f>ROUND(G6+G23-G79,5)</f>
        <v>35744.182000000001</v>
      </c>
      <c r="H80" s="3">
        <f>ROUND(H6+H23-H79,5)</f>
        <v>68669.580499999996</v>
      </c>
      <c r="I80" s="3">
        <f t="shared" si="22"/>
        <v>-32925.398500000003</v>
      </c>
      <c r="J80" s="16">
        <f t="shared" si="21"/>
        <v>-0.47947574836284318</v>
      </c>
      <c r="K80" s="16">
        <f t="shared" si="23"/>
        <v>2.7605394083838292E-2</v>
      </c>
    </row>
    <row r="81" spans="1:12" x14ac:dyDescent="0.35">
      <c r="A81" s="1"/>
      <c r="B81" s="1" t="s">
        <v>55</v>
      </c>
      <c r="C81" s="1"/>
      <c r="D81" s="1"/>
      <c r="E81" s="1"/>
      <c r="F81" s="1"/>
      <c r="G81" s="3"/>
      <c r="H81" s="3"/>
      <c r="I81" s="3"/>
      <c r="J81" s="16"/>
      <c r="K81" s="16"/>
    </row>
    <row r="82" spans="1:12" x14ac:dyDescent="0.35">
      <c r="A82" s="1"/>
      <c r="B82" s="1"/>
      <c r="C82" s="1" t="s">
        <v>56</v>
      </c>
      <c r="D82" s="1"/>
      <c r="E82" s="1"/>
      <c r="F82" s="1"/>
      <c r="G82" s="3"/>
      <c r="H82" s="3"/>
      <c r="I82" s="3"/>
      <c r="J82" s="16"/>
      <c r="K82" s="16"/>
    </row>
    <row r="83" spans="1:12" x14ac:dyDescent="0.35">
      <c r="A83" s="1"/>
      <c r="B83" s="1"/>
      <c r="C83" s="1"/>
      <c r="D83" s="1" t="s">
        <v>56</v>
      </c>
      <c r="E83" s="1"/>
      <c r="F83" s="1"/>
      <c r="G83" s="3">
        <v>0</v>
      </c>
      <c r="H83" s="3">
        <v>0</v>
      </c>
      <c r="I83" s="3">
        <f>ROUND((G83-H83),5)</f>
        <v>0</v>
      </c>
      <c r="J83" s="16">
        <f>IFERROR(I83/H83,0)</f>
        <v>0</v>
      </c>
      <c r="K83" s="16">
        <f>G83/$G$14</f>
        <v>0</v>
      </c>
    </row>
    <row r="84" spans="1:12" ht="15" thickBot="1" x14ac:dyDescent="0.4">
      <c r="A84" s="1"/>
      <c r="B84" s="1"/>
      <c r="C84" s="1"/>
      <c r="D84" s="1" t="s">
        <v>57</v>
      </c>
      <c r="E84" s="1"/>
      <c r="F84" s="1"/>
      <c r="G84" s="4">
        <v>0</v>
      </c>
      <c r="H84" s="4">
        <v>0</v>
      </c>
      <c r="I84" s="4">
        <f>ROUND((G84-H84),5)</f>
        <v>0</v>
      </c>
      <c r="J84" s="17">
        <f>IFERROR(I84/H84,0)</f>
        <v>0</v>
      </c>
      <c r="K84" s="17">
        <f>G84/$G$14</f>
        <v>0</v>
      </c>
    </row>
    <row r="85" spans="1:12" x14ac:dyDescent="0.35">
      <c r="A85" s="1"/>
      <c r="B85" s="1"/>
      <c r="C85" s="1" t="s">
        <v>58</v>
      </c>
      <c r="D85" s="1"/>
      <c r="E85" s="1"/>
      <c r="F85" s="1"/>
      <c r="G85" s="3">
        <f>ROUND(SUM(G82:G84),5)</f>
        <v>0</v>
      </c>
      <c r="H85" s="3">
        <f>ROUND(SUM(H82:H84),5)</f>
        <v>0</v>
      </c>
      <c r="I85" s="3">
        <f>ROUND((G85-H85),5)</f>
        <v>0</v>
      </c>
      <c r="J85" s="16">
        <f>IFERROR(I85/H85,0)</f>
        <v>0</v>
      </c>
      <c r="K85" s="16">
        <f>G85/$G$14</f>
        <v>0</v>
      </c>
    </row>
    <row r="86" spans="1:12" x14ac:dyDescent="0.35">
      <c r="A86" s="1"/>
      <c r="B86" s="1"/>
      <c r="C86" s="1" t="s">
        <v>59</v>
      </c>
      <c r="D86" s="1"/>
      <c r="E86" s="1"/>
      <c r="F86" s="1"/>
      <c r="G86" s="3"/>
      <c r="H86" s="3"/>
      <c r="I86" s="3"/>
      <c r="J86" s="16"/>
      <c r="K86" s="16"/>
    </row>
    <row r="87" spans="1:12" x14ac:dyDescent="0.35">
      <c r="A87" s="1"/>
      <c r="B87" s="1"/>
      <c r="C87" s="1"/>
      <c r="D87" s="1" t="s">
        <v>60</v>
      </c>
      <c r="E87" s="1"/>
      <c r="F87" s="1"/>
      <c r="G87" s="24">
        <v>2874</v>
      </c>
      <c r="H87" s="24">
        <v>3582</v>
      </c>
      <c r="I87" s="3">
        <f t="shared" ref="I87:I92" si="24">ROUND((G87-H87),5)</f>
        <v>-708</v>
      </c>
      <c r="J87" s="16">
        <f t="shared" si="21"/>
        <v>-0.19765494137353434</v>
      </c>
      <c r="K87" s="16">
        <f t="shared" ref="K87:K92" si="25">G87/$G$14</f>
        <v>2.2196032517110406E-3</v>
      </c>
      <c r="L87" s="27"/>
    </row>
    <row r="88" spans="1:12" x14ac:dyDescent="0.35">
      <c r="A88" s="1"/>
      <c r="B88" s="1"/>
      <c r="C88" s="1"/>
      <c r="D88" s="1" t="s">
        <v>167</v>
      </c>
      <c r="E88" s="1"/>
      <c r="F88" s="1"/>
      <c r="G88" s="24">
        <v>9059</v>
      </c>
      <c r="H88" s="24">
        <v>8750</v>
      </c>
      <c r="I88" s="3">
        <f t="shared" si="24"/>
        <v>309</v>
      </c>
      <c r="J88" s="16">
        <f t="shared" ref="J88" si="26">I88/H88</f>
        <v>3.5314285714285715E-2</v>
      </c>
      <c r="K88" s="16">
        <f t="shared" si="25"/>
        <v>6.9963068396834789E-3</v>
      </c>
      <c r="L88" s="27"/>
    </row>
    <row r="89" spans="1:12" ht="15" thickBot="1" x14ac:dyDescent="0.4">
      <c r="A89" s="1"/>
      <c r="B89" s="1"/>
      <c r="C89" s="1"/>
      <c r="D89" s="1" t="s">
        <v>61</v>
      </c>
      <c r="E89" s="1"/>
      <c r="F89" s="1"/>
      <c r="G89" s="5">
        <v>0</v>
      </c>
      <c r="H89" s="5">
        <v>0</v>
      </c>
      <c r="I89" s="5">
        <f t="shared" si="24"/>
        <v>0</v>
      </c>
      <c r="J89" s="16">
        <f>IFERROR(I89/H89,0)</f>
        <v>0</v>
      </c>
      <c r="K89" s="18">
        <f t="shared" si="25"/>
        <v>0</v>
      </c>
    </row>
    <row r="90" spans="1:12" ht="15" thickBot="1" x14ac:dyDescent="0.4">
      <c r="A90" s="1"/>
      <c r="B90" s="1"/>
      <c r="C90" s="1" t="s">
        <v>62</v>
      </c>
      <c r="D90" s="1"/>
      <c r="E90" s="1"/>
      <c r="F90" s="1"/>
      <c r="G90" s="7">
        <f>ROUND(SUM(G86:G89),5)</f>
        <v>11933</v>
      </c>
      <c r="H90" s="7">
        <f>ROUND(SUM(H86:H89),5)</f>
        <v>12332</v>
      </c>
      <c r="I90" s="7">
        <f t="shared" si="24"/>
        <v>-399</v>
      </c>
      <c r="J90" s="20">
        <f t="shared" si="21"/>
        <v>-3.2354849172883553E-2</v>
      </c>
      <c r="K90" s="20">
        <f t="shared" si="25"/>
        <v>9.2159100913945195E-3</v>
      </c>
    </row>
    <row r="91" spans="1:12" ht="15" thickBot="1" x14ac:dyDescent="0.4">
      <c r="A91" s="1"/>
      <c r="B91" s="1" t="s">
        <v>63</v>
      </c>
      <c r="C91" s="1"/>
      <c r="D91" s="1"/>
      <c r="E91" s="1"/>
      <c r="F91" s="1"/>
      <c r="G91" s="7">
        <f>ROUND(G81+G85-G90,5)</f>
        <v>-11933</v>
      </c>
      <c r="H91" s="7">
        <f>ROUND(H81+H85-H90,5)</f>
        <v>-12332</v>
      </c>
      <c r="I91" s="7">
        <f t="shared" si="24"/>
        <v>399</v>
      </c>
      <c r="J91" s="20">
        <f t="shared" si="21"/>
        <v>-3.2354849172883553E-2</v>
      </c>
      <c r="K91" s="20">
        <f t="shared" si="25"/>
        <v>-9.2159100913945195E-3</v>
      </c>
    </row>
    <row r="92" spans="1:12" s="9" customFormat="1" ht="11" thickBot="1" x14ac:dyDescent="0.3">
      <c r="A92" s="1" t="s">
        <v>64</v>
      </c>
      <c r="B92" s="1"/>
      <c r="C92" s="1"/>
      <c r="D92" s="1"/>
      <c r="E92" s="1"/>
      <c r="F92" s="1"/>
      <c r="G92" s="8">
        <f>ROUND(G80+G91,5)</f>
        <v>23811.182000000001</v>
      </c>
      <c r="H92" s="8">
        <f>ROUND(H80+H91,5)</f>
        <v>56337.580499999996</v>
      </c>
      <c r="I92" s="8">
        <f t="shared" si="24"/>
        <v>-32526.398499999999</v>
      </c>
      <c r="J92" s="21">
        <f t="shared" si="21"/>
        <v>-0.57734816105565634</v>
      </c>
      <c r="K92" s="21">
        <f t="shared" si="25"/>
        <v>1.8389483992443775E-2</v>
      </c>
    </row>
    <row r="93" spans="1:12" ht="15" thickTop="1" x14ac:dyDescent="0.35"/>
  </sheetData>
  <pageMargins left="0.7" right="0.7" top="0.75" bottom="0.75" header="0.1" footer="0.3"/>
  <pageSetup orientation="portrait" verticalDpi="0" r:id="rId1"/>
  <headerFooter>
    <oddHeader>&amp;L&amp;"Arial,Bold"&amp;8 7:54 PM
&amp;"Arial,Bold"&amp;8 08/25/15
&amp;"Arial,Bold"&amp;8 Accrual Basis&amp;C&amp;"Arial,Bold"&amp;12 The Running Store, Inc.
&amp;"Arial,Bold"&amp;14 Profit &amp;&amp; Loss
&amp;"Arial,Bold"&amp;10 January through June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4</xdr:col>
                <xdr:colOff>76200</xdr:colOff>
                <xdr:row>4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4</xdr:col>
                <xdr:colOff>76200</xdr:colOff>
                <xdr:row>4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I58"/>
  <sheetViews>
    <sheetView zoomScale="90" zoomScaleNormal="90" workbookViewId="0">
      <pane xSplit="5" ySplit="5" topLeftCell="F25" activePane="bottomRight" state="frozenSplit"/>
      <selection pane="topRight" activeCell="F1" sqref="F1"/>
      <selection pane="bottomLeft" activeCell="A3" sqref="A3"/>
      <selection pane="bottomRight" activeCell="J30" sqref="J30"/>
    </sheetView>
  </sheetViews>
  <sheetFormatPr defaultRowHeight="14.5" x14ac:dyDescent="0.35"/>
  <cols>
    <col min="1" max="4" width="3" style="13" customWidth="1"/>
    <col min="5" max="5" width="23.6328125" style="13" customWidth="1"/>
    <col min="6" max="6" width="17.7265625" style="14" customWidth="1"/>
    <col min="7" max="7" width="10.7265625" style="14" customWidth="1"/>
    <col min="8" max="8" width="8.453125" style="14" customWidth="1"/>
    <col min="9" max="9" width="8.6328125" style="14" customWidth="1"/>
    <col min="10" max="10" width="8.7265625" customWidth="1"/>
  </cols>
  <sheetData>
    <row r="1" spans="1:9" x14ac:dyDescent="0.35">
      <c r="F1" s="22" t="s">
        <v>111</v>
      </c>
    </row>
    <row r="2" spans="1:9" x14ac:dyDescent="0.35">
      <c r="F2" s="22" t="s">
        <v>67</v>
      </c>
    </row>
    <row r="3" spans="1:9" x14ac:dyDescent="0.35">
      <c r="F3" s="23">
        <v>42735</v>
      </c>
    </row>
    <row r="4" spans="1:9" ht="15" thickBot="1" x14ac:dyDescent="0.4">
      <c r="A4" s="1"/>
      <c r="B4" s="1"/>
      <c r="C4" s="1"/>
      <c r="D4" s="1"/>
      <c r="E4" s="1"/>
      <c r="F4" s="2"/>
      <c r="G4" s="2"/>
      <c r="H4" s="2"/>
      <c r="I4" s="2"/>
    </row>
    <row r="5" spans="1:9" s="12" customFormat="1" ht="15.5" thickTop="1" thickBot="1" x14ac:dyDescent="0.4">
      <c r="A5" s="10"/>
      <c r="B5" s="10"/>
      <c r="C5" s="10"/>
      <c r="D5" s="10"/>
      <c r="E5" s="10"/>
      <c r="F5" s="11" t="s">
        <v>112</v>
      </c>
      <c r="G5" s="11" t="s">
        <v>113</v>
      </c>
      <c r="H5" s="11" t="s">
        <v>0</v>
      </c>
      <c r="I5" s="11" t="s">
        <v>65</v>
      </c>
    </row>
    <row r="6" spans="1:9" ht="15" thickTop="1" x14ac:dyDescent="0.35">
      <c r="A6" s="1" t="s">
        <v>114</v>
      </c>
      <c r="B6" s="1"/>
      <c r="C6" s="1"/>
      <c r="D6" s="1"/>
      <c r="E6" s="1"/>
      <c r="F6" s="3"/>
      <c r="G6" s="3"/>
      <c r="H6" s="3"/>
      <c r="I6" s="32"/>
    </row>
    <row r="7" spans="1:9" x14ac:dyDescent="0.35">
      <c r="A7" s="1"/>
      <c r="B7" s="1" t="s">
        <v>115</v>
      </c>
      <c r="C7" s="1"/>
      <c r="D7" s="1"/>
      <c r="E7" s="1"/>
      <c r="F7" s="3"/>
      <c r="G7" s="3"/>
      <c r="H7" s="3"/>
      <c r="I7" s="32"/>
    </row>
    <row r="8" spans="1:9" x14ac:dyDescent="0.35">
      <c r="A8" s="1"/>
      <c r="B8" s="1"/>
      <c r="C8" s="1" t="s">
        <v>116</v>
      </c>
      <c r="D8" s="1"/>
      <c r="E8" s="1"/>
      <c r="F8" s="3"/>
      <c r="G8" s="3"/>
      <c r="H8" s="3"/>
      <c r="I8" s="32"/>
    </row>
    <row r="9" spans="1:9" x14ac:dyDescent="0.35">
      <c r="A9" s="1"/>
      <c r="B9" s="1"/>
      <c r="C9" s="1"/>
      <c r="D9" s="1" t="s">
        <v>117</v>
      </c>
      <c r="E9" s="1"/>
      <c r="F9" s="3">
        <v>32768</v>
      </c>
      <c r="G9" s="3">
        <v>38432</v>
      </c>
      <c r="H9" s="3">
        <f t="shared" ref="H9:H10" si="0">ROUND((F9-G9),5)</f>
        <v>-5664</v>
      </c>
      <c r="I9" s="32">
        <f t="shared" ref="I9:I10" si="1">ROUND(IF(F9=0, IF(G9=0, 0, SIGN(-G9)), IF(G9=0, SIGN(F9), (F9-G9)/ABS(G9))),5)</f>
        <v>-0.14738000000000001</v>
      </c>
    </row>
    <row r="10" spans="1:9" x14ac:dyDescent="0.35">
      <c r="A10" s="1"/>
      <c r="B10" s="1"/>
      <c r="C10" s="1"/>
      <c r="D10" s="1" t="s">
        <v>118</v>
      </c>
      <c r="E10" s="1"/>
      <c r="F10" s="3">
        <f>G10+'Statement of Cash Flows'!B27</f>
        <v>18461.182000000001</v>
      </c>
      <c r="G10" s="3">
        <v>8690</v>
      </c>
      <c r="H10" s="3">
        <f t="shared" si="0"/>
        <v>9771.1820000000007</v>
      </c>
      <c r="I10" s="32">
        <f t="shared" si="1"/>
        <v>1.12442</v>
      </c>
    </row>
    <row r="11" spans="1:9" x14ac:dyDescent="0.35">
      <c r="A11" s="1"/>
      <c r="B11" s="1"/>
      <c r="C11" s="1"/>
      <c r="D11" s="1" t="s">
        <v>119</v>
      </c>
      <c r="E11" s="1"/>
      <c r="F11" s="3">
        <v>1467</v>
      </c>
      <c r="G11" s="3">
        <v>1683</v>
      </c>
      <c r="H11" s="3">
        <f>ROUND((F11-G11),5)</f>
        <v>-216</v>
      </c>
      <c r="I11" s="32">
        <f>ROUND(IF(F11=0, IF(G11=0, 0, SIGN(-G11)), IF(G11=0, SIGN(F11), (F11-G11)/ABS(G11))),5)</f>
        <v>-0.12834000000000001</v>
      </c>
    </row>
    <row r="12" spans="1:9" x14ac:dyDescent="0.35">
      <c r="A12" s="1"/>
      <c r="B12" s="1"/>
      <c r="C12" s="1" t="s">
        <v>120</v>
      </c>
      <c r="D12" s="1"/>
      <c r="E12" s="1"/>
      <c r="F12" s="3">
        <f>ROUND(SUM(F8:F11),5)</f>
        <v>52696.182000000001</v>
      </c>
      <c r="G12" s="3">
        <f>ROUND(SUM(G8:G11),5)</f>
        <v>48805</v>
      </c>
      <c r="H12" s="3">
        <f>ROUND((F12-G12),5)</f>
        <v>3891.1819999999998</v>
      </c>
      <c r="I12" s="32">
        <f>ROUND(IF(F12=0, IF(G12=0, 0, SIGN(-G12)), IF(G12=0, SIGN(F12), (F12-G12)/ABS(G12))),5)</f>
        <v>7.9729999999999995E-2</v>
      </c>
    </row>
    <row r="13" spans="1:9" x14ac:dyDescent="0.35">
      <c r="A13" s="1"/>
      <c r="B13" s="1"/>
    </row>
    <row r="14" spans="1:9" ht="30" customHeight="1" x14ac:dyDescent="0.35">
      <c r="A14" s="1"/>
      <c r="B14" s="1"/>
      <c r="C14" s="1" t="s">
        <v>121</v>
      </c>
      <c r="D14" s="1"/>
      <c r="E14" s="1"/>
      <c r="F14" s="3"/>
      <c r="G14" s="3"/>
      <c r="H14" s="3"/>
      <c r="I14" s="32"/>
    </row>
    <row r="15" spans="1:9" ht="15" thickBot="1" x14ac:dyDescent="0.4">
      <c r="A15" s="1"/>
      <c r="B15" s="1"/>
      <c r="C15" s="1"/>
      <c r="D15" s="1" t="s">
        <v>121</v>
      </c>
      <c r="E15" s="1"/>
      <c r="F15" s="4">
        <v>428</v>
      </c>
      <c r="G15" s="4">
        <v>1285</v>
      </c>
      <c r="H15" s="4">
        <f>ROUND((F15-G15),5)</f>
        <v>-857</v>
      </c>
      <c r="I15" s="33">
        <f>ROUND(IF(F15=0, IF(G15=0, 0, SIGN(-G15)), IF(G15=0, SIGN(F15), (F15-G15)/ABS(G15))),5)</f>
        <v>-0.66693000000000002</v>
      </c>
    </row>
    <row r="16" spans="1:9" x14ac:dyDescent="0.35">
      <c r="A16" s="1"/>
      <c r="B16" s="1"/>
      <c r="C16" s="1" t="s">
        <v>122</v>
      </c>
      <c r="D16" s="1"/>
      <c r="E16" s="1"/>
      <c r="F16" s="3">
        <f>ROUND(SUM(F14:F15),5)</f>
        <v>428</v>
      </c>
      <c r="G16" s="3">
        <f>ROUND(SUM(G14:G15),5)</f>
        <v>1285</v>
      </c>
      <c r="H16" s="3">
        <f>ROUND((F16-G16),5)</f>
        <v>-857</v>
      </c>
      <c r="I16" s="32">
        <f>ROUND(IF(F16=0, IF(G16=0, 0, SIGN(-G16)), IF(G16=0, SIGN(F16), (F16-G16)/ABS(G16))),5)</f>
        <v>-0.66693000000000002</v>
      </c>
    </row>
    <row r="17" spans="1:9" ht="30" customHeight="1" x14ac:dyDescent="0.35">
      <c r="A17" s="1"/>
      <c r="B17" s="1"/>
      <c r="C17" s="1" t="s">
        <v>123</v>
      </c>
      <c r="D17" s="1"/>
      <c r="E17" s="1"/>
      <c r="F17" s="3"/>
      <c r="G17" s="3"/>
      <c r="H17" s="3"/>
      <c r="I17" s="32"/>
    </row>
    <row r="18" spans="1:9" x14ac:dyDescent="0.35">
      <c r="A18" s="1"/>
      <c r="B18" s="1"/>
      <c r="C18" s="1"/>
      <c r="D18" s="1" t="s">
        <v>124</v>
      </c>
      <c r="E18" s="1"/>
      <c r="F18" s="3">
        <v>237704</v>
      </c>
      <c r="G18" s="3">
        <v>251623</v>
      </c>
      <c r="H18" s="3">
        <f>ROUND((F18-G18),5)</f>
        <v>-13919</v>
      </c>
      <c r="I18" s="32">
        <f>ROUND(IF(F18=0, IF(G18=0, 0, SIGN(-G18)), IF(G18=0, SIGN(F18), (F18-G18)/ABS(G18))),5)</f>
        <v>-5.5320000000000001E-2</v>
      </c>
    </row>
    <row r="19" spans="1:9" ht="15" thickBot="1" x14ac:dyDescent="0.4">
      <c r="A19" s="1"/>
      <c r="B19" s="1"/>
      <c r="C19" s="1"/>
      <c r="D19" s="1"/>
      <c r="E19" s="1"/>
      <c r="F19" s="38"/>
      <c r="G19" s="38"/>
      <c r="H19" s="38"/>
      <c r="I19" s="39"/>
    </row>
    <row r="20" spans="1:9" ht="15" thickBot="1" x14ac:dyDescent="0.4">
      <c r="A20" s="1"/>
      <c r="B20" s="1"/>
      <c r="C20" s="1" t="s">
        <v>125</v>
      </c>
      <c r="D20" s="1"/>
      <c r="E20" s="1"/>
      <c r="F20" s="6">
        <f>ROUND(SUM(F17:F19),5)</f>
        <v>237704</v>
      </c>
      <c r="G20" s="6">
        <f>ROUND(SUM(G17:G19),5)</f>
        <v>251623</v>
      </c>
      <c r="H20" s="6">
        <f>ROUND((F20-G20),5)</f>
        <v>-13919</v>
      </c>
      <c r="I20" s="34">
        <f>ROUND(IF(F20=0, IF(G20=0, 0, SIGN(-G20)), IF(G20=0, SIGN(F20), (F20-G20)/ABS(G20))),5)</f>
        <v>-5.5320000000000001E-2</v>
      </c>
    </row>
    <row r="21" spans="1:9" ht="30" customHeight="1" x14ac:dyDescent="0.35">
      <c r="A21" s="1"/>
      <c r="B21" s="1" t="s">
        <v>126</v>
      </c>
      <c r="C21" s="1"/>
      <c r="D21" s="1"/>
      <c r="E21" s="1"/>
      <c r="F21" s="3">
        <f>ROUND(F7+F12+F16+F20,5)</f>
        <v>290828.18199999997</v>
      </c>
      <c r="G21" s="3">
        <f>ROUND(G7+G12+G16+G20,5)</f>
        <v>301713</v>
      </c>
      <c r="H21" s="3">
        <f>ROUND((F21-G21),5)</f>
        <v>-10884.817999999999</v>
      </c>
      <c r="I21" s="32">
        <f>ROUND(IF(F21=0, IF(G21=0, 0, SIGN(-G21)), IF(G21=0, SIGN(F21), (F21-G21)/ABS(G21))),5)</f>
        <v>-3.6080000000000001E-2</v>
      </c>
    </row>
    <row r="22" spans="1:9" ht="30" customHeight="1" x14ac:dyDescent="0.35">
      <c r="A22" s="1"/>
      <c r="B22" s="1" t="s">
        <v>127</v>
      </c>
      <c r="C22" s="1"/>
      <c r="D22" s="1"/>
      <c r="E22" s="1"/>
      <c r="F22" s="3"/>
      <c r="G22" s="3"/>
      <c r="H22" s="3"/>
      <c r="I22" s="32"/>
    </row>
    <row r="23" spans="1:9" x14ac:dyDescent="0.35">
      <c r="A23" s="1"/>
      <c r="B23" s="1"/>
      <c r="C23" s="1" t="s">
        <v>128</v>
      </c>
      <c r="D23" s="1"/>
      <c r="E23" s="1"/>
      <c r="F23" s="3">
        <v>0</v>
      </c>
      <c r="G23" s="3">
        <v>0</v>
      </c>
      <c r="H23" s="3">
        <f t="shared" ref="H23:H29" si="2">ROUND((F23-G23),5)</f>
        <v>0</v>
      </c>
      <c r="I23" s="32">
        <f t="shared" ref="I23:I29" si="3">ROUND(IF(F23=0, IF(G23=0, 0, SIGN(-G23)), IF(G23=0, SIGN(F23), (F23-G23)/ABS(G23))),5)</f>
        <v>0</v>
      </c>
    </row>
    <row r="24" spans="1:9" x14ac:dyDescent="0.35">
      <c r="A24" s="1"/>
      <c r="B24" s="1"/>
      <c r="C24" s="1" t="s">
        <v>129</v>
      </c>
      <c r="D24" s="1"/>
      <c r="E24" s="1"/>
      <c r="F24" s="3">
        <v>9765</v>
      </c>
      <c r="G24" s="3">
        <v>9765</v>
      </c>
      <c r="H24" s="3">
        <f t="shared" si="2"/>
        <v>0</v>
      </c>
      <c r="I24" s="32">
        <f t="shared" si="3"/>
        <v>0</v>
      </c>
    </row>
    <row r="25" spans="1:9" x14ac:dyDescent="0.35">
      <c r="A25" s="1"/>
      <c r="B25" s="1"/>
      <c r="C25" s="1" t="s">
        <v>130</v>
      </c>
      <c r="D25" s="1"/>
      <c r="E25" s="1"/>
      <c r="F25" s="3">
        <v>15215</v>
      </c>
      <c r="G25" s="3">
        <v>12145</v>
      </c>
      <c r="H25" s="3">
        <f t="shared" si="2"/>
        <v>3070</v>
      </c>
      <c r="I25" s="32">
        <f t="shared" si="3"/>
        <v>0.25278</v>
      </c>
    </row>
    <row r="26" spans="1:9" x14ac:dyDescent="0.35">
      <c r="A26" s="1"/>
      <c r="B26" s="1"/>
      <c r="C26" s="1" t="s">
        <v>131</v>
      </c>
      <c r="D26" s="1"/>
      <c r="E26" s="1"/>
      <c r="F26" s="3">
        <v>68453</v>
      </c>
      <c r="G26" s="3">
        <v>68453</v>
      </c>
      <c r="H26" s="3">
        <f t="shared" si="2"/>
        <v>0</v>
      </c>
      <c r="I26" s="32">
        <f t="shared" si="3"/>
        <v>0</v>
      </c>
    </row>
    <row r="27" spans="1:9" ht="15" thickBot="1" x14ac:dyDescent="0.4">
      <c r="A27" s="1"/>
      <c r="B27" s="1"/>
      <c r="C27" s="1" t="s">
        <v>132</v>
      </c>
      <c r="D27" s="1"/>
      <c r="E27" s="1"/>
      <c r="F27" s="5">
        <f>-35627</f>
        <v>-35627</v>
      </c>
      <c r="G27" s="5">
        <v>-26568</v>
      </c>
      <c r="H27" s="5">
        <f t="shared" si="2"/>
        <v>-9059</v>
      </c>
      <c r="I27" s="35">
        <f t="shared" si="3"/>
        <v>-0.34097</v>
      </c>
    </row>
    <row r="28" spans="1:9" ht="15" thickBot="1" x14ac:dyDescent="0.4">
      <c r="A28" s="1"/>
      <c r="B28" s="1" t="s">
        <v>133</v>
      </c>
      <c r="C28" s="1"/>
      <c r="D28" s="1"/>
      <c r="E28" s="1"/>
      <c r="F28" s="7">
        <f>ROUND(SUM(F22:F27),5)</f>
        <v>57806</v>
      </c>
      <c r="G28" s="7">
        <f>ROUND(SUM(G22:G27),5)</f>
        <v>63795</v>
      </c>
      <c r="H28" s="7">
        <f t="shared" si="2"/>
        <v>-5989</v>
      </c>
      <c r="I28" s="36">
        <f t="shared" si="3"/>
        <v>-9.3880000000000005E-2</v>
      </c>
    </row>
    <row r="29" spans="1:9" s="9" customFormat="1" ht="30" customHeight="1" thickBot="1" x14ac:dyDescent="0.3">
      <c r="A29" s="1" t="s">
        <v>134</v>
      </c>
      <c r="B29" s="1"/>
      <c r="C29" s="1"/>
      <c r="D29" s="1"/>
      <c r="E29" s="1"/>
      <c r="F29" s="8">
        <f>ROUND(F6+F21+F28,5)</f>
        <v>348634.18199999997</v>
      </c>
      <c r="G29" s="8">
        <f>ROUND(G6+G21+G28,5)</f>
        <v>365508</v>
      </c>
      <c r="H29" s="8">
        <f t="shared" si="2"/>
        <v>-16873.817999999999</v>
      </c>
      <c r="I29" s="37">
        <f t="shared" si="3"/>
        <v>-4.6170000000000003E-2</v>
      </c>
    </row>
    <row r="30" spans="1:9" ht="31.5" customHeight="1" thickTop="1" x14ac:dyDescent="0.35">
      <c r="A30" s="1" t="s">
        <v>135</v>
      </c>
      <c r="B30" s="1"/>
      <c r="C30" s="1"/>
      <c r="D30" s="1"/>
      <c r="E30" s="1"/>
      <c r="F30" s="3"/>
      <c r="G30" s="3"/>
      <c r="H30" s="3"/>
      <c r="I30" s="32"/>
    </row>
    <row r="31" spans="1:9" x14ac:dyDescent="0.35">
      <c r="A31" s="1"/>
      <c r="B31" s="1" t="s">
        <v>136</v>
      </c>
      <c r="C31" s="1"/>
      <c r="D31" s="1"/>
      <c r="E31" s="1"/>
      <c r="F31" s="3"/>
      <c r="G31" s="3"/>
      <c r="H31" s="3"/>
      <c r="I31" s="32"/>
    </row>
    <row r="32" spans="1:9" x14ac:dyDescent="0.35">
      <c r="A32" s="1"/>
      <c r="B32" s="1"/>
      <c r="C32" s="1" t="s">
        <v>137</v>
      </c>
      <c r="D32" s="1"/>
      <c r="E32" s="1"/>
      <c r="F32" s="3"/>
      <c r="G32" s="3"/>
      <c r="H32" s="3"/>
      <c r="I32" s="32"/>
    </row>
    <row r="33" spans="1:9" x14ac:dyDescent="0.35">
      <c r="A33" s="1"/>
      <c r="B33" s="1"/>
      <c r="C33" s="1"/>
      <c r="D33" s="1" t="s">
        <v>138</v>
      </c>
      <c r="E33" s="1"/>
      <c r="F33" s="3"/>
      <c r="G33" s="3"/>
      <c r="H33" s="3"/>
      <c r="I33" s="32"/>
    </row>
    <row r="34" spans="1:9" ht="15" thickBot="1" x14ac:dyDescent="0.4">
      <c r="A34" s="1"/>
      <c r="B34" s="1"/>
      <c r="C34" s="1"/>
      <c r="D34" s="1"/>
      <c r="E34" s="1" t="s">
        <v>138</v>
      </c>
      <c r="F34" s="4">
        <v>189569</v>
      </c>
      <c r="G34" s="4">
        <v>201298</v>
      </c>
      <c r="H34" s="4">
        <f>ROUND((F34-G34),5)</f>
        <v>-11729</v>
      </c>
      <c r="I34" s="33">
        <f>ROUND(IF(F34=0, IF(G34=0, 0, SIGN(-G34)), IF(G34=0, SIGN(F34), (F34-G34)/ABS(G34))),5)</f>
        <v>-5.8270000000000002E-2</v>
      </c>
    </row>
    <row r="35" spans="1:9" x14ac:dyDescent="0.35">
      <c r="A35" s="1"/>
      <c r="B35" s="1"/>
      <c r="C35" s="1"/>
      <c r="D35" s="1" t="s">
        <v>139</v>
      </c>
      <c r="E35" s="1"/>
      <c r="F35" s="3">
        <f>F34</f>
        <v>189569</v>
      </c>
      <c r="G35" s="3">
        <f>ROUND(SUM(G33:G34),5)</f>
        <v>201298</v>
      </c>
      <c r="H35" s="3">
        <f>ROUND((F35-G35),5)</f>
        <v>-11729</v>
      </c>
      <c r="I35" s="32">
        <f>ROUND(IF(F35=0, IF(G35=0, 0, SIGN(-G35)), IF(G35=0, SIGN(F35), (F35-G35)/ABS(G35))),5)</f>
        <v>-5.8270000000000002E-2</v>
      </c>
    </row>
    <row r="36" spans="1:9" ht="30" customHeight="1" x14ac:dyDescent="0.35">
      <c r="A36" s="1"/>
      <c r="B36" s="1"/>
      <c r="C36" s="1"/>
      <c r="D36" s="1" t="s">
        <v>140</v>
      </c>
      <c r="E36" s="1"/>
      <c r="F36" s="3"/>
      <c r="G36" s="3"/>
      <c r="H36" s="3"/>
      <c r="I36" s="32"/>
    </row>
    <row r="37" spans="1:9" ht="15" thickBot="1" x14ac:dyDescent="0.4">
      <c r="A37" s="1"/>
      <c r="B37" s="1"/>
      <c r="C37" s="1"/>
      <c r="D37" s="1"/>
      <c r="E37" s="1" t="s">
        <v>141</v>
      </c>
      <c r="F37" s="4">
        <v>3487</v>
      </c>
      <c r="G37" s="4">
        <v>11673</v>
      </c>
      <c r="H37" s="4">
        <f>ROUND((F37-G37),5)</f>
        <v>-8186</v>
      </c>
      <c r="I37" s="33">
        <f>ROUND(IF(F37=0, IF(G37=0, 0, SIGN(-G37)), IF(G37=0, SIGN(F37), (F37-G37)/ABS(G37))),5)</f>
        <v>-0.70128000000000001</v>
      </c>
    </row>
    <row r="38" spans="1:9" x14ac:dyDescent="0.35">
      <c r="A38" s="1"/>
      <c r="B38" s="1"/>
      <c r="C38" s="1"/>
      <c r="D38" s="1" t="s">
        <v>142</v>
      </c>
      <c r="E38" s="1"/>
      <c r="F38" s="3">
        <f>ROUND(SUM(F36:F37),5)</f>
        <v>3487</v>
      </c>
      <c r="G38" s="3">
        <f>ROUND(SUM(G36:G37),5)</f>
        <v>11673</v>
      </c>
      <c r="H38" s="3">
        <f>ROUND((F38-G38),5)</f>
        <v>-8186</v>
      </c>
      <c r="I38" s="32">
        <f>ROUND(IF(F38=0, IF(G38=0, 0, SIGN(-G38)), IF(G38=0, SIGN(F38), (F38-G38)/ABS(G38))),5)</f>
        <v>-0.70128000000000001</v>
      </c>
    </row>
    <row r="39" spans="1:9" ht="30" customHeight="1" x14ac:dyDescent="0.35">
      <c r="A39" s="1"/>
      <c r="B39" s="1"/>
      <c r="C39" s="1"/>
      <c r="D39" s="1" t="s">
        <v>143</v>
      </c>
      <c r="E39" s="1"/>
      <c r="F39" s="3"/>
      <c r="G39" s="3"/>
      <c r="H39" s="3"/>
      <c r="I39" s="32"/>
    </row>
    <row r="40" spans="1:9" x14ac:dyDescent="0.35">
      <c r="A40" s="1"/>
      <c r="B40" s="1"/>
      <c r="C40" s="1"/>
      <c r="D40" s="1"/>
      <c r="E40" s="1" t="s">
        <v>144</v>
      </c>
      <c r="F40" s="3">
        <v>-6245</v>
      </c>
      <c r="G40" s="3">
        <v>-5157</v>
      </c>
      <c r="H40" s="3">
        <f>ROUND((F40-G40),5)</f>
        <v>-1088</v>
      </c>
      <c r="I40" s="32">
        <f>ROUND(IF(F40=0, IF(G40=0, 0, SIGN(-G40)), IF(G40=0, SIGN(F40), (F40-G40)/ABS(G40))),5)</f>
        <v>-0.21098</v>
      </c>
    </row>
    <row r="41" spans="1:9" x14ac:dyDescent="0.35">
      <c r="A41" s="1"/>
      <c r="B41" s="1"/>
      <c r="C41" s="1"/>
      <c r="D41" s="1"/>
      <c r="E41" s="1" t="s">
        <v>145</v>
      </c>
      <c r="F41" s="3">
        <v>4225</v>
      </c>
      <c r="G41" s="3">
        <v>3844</v>
      </c>
      <c r="H41" s="3">
        <f>ROUND((F41-G41),5)</f>
        <v>381</v>
      </c>
      <c r="I41" s="32">
        <f>ROUND(IF(F41=0, IF(G41=0, 0, SIGN(-G41)), IF(G41=0, SIGN(F41), (F41-G41)/ABS(G41))),5)</f>
        <v>9.912E-2</v>
      </c>
    </row>
    <row r="42" spans="1:9" ht="15" thickBot="1" x14ac:dyDescent="0.4">
      <c r="A42" s="1"/>
      <c r="B42" s="1"/>
      <c r="C42" s="1"/>
      <c r="D42" s="1"/>
      <c r="E42" s="1" t="s">
        <v>146</v>
      </c>
      <c r="F42" s="5">
        <v>7743</v>
      </c>
      <c r="G42" s="5">
        <v>7550</v>
      </c>
      <c r="H42" s="5">
        <f>ROUND((F42-G42),5)</f>
        <v>193</v>
      </c>
      <c r="I42" s="35">
        <f>ROUND(IF(F42=0, IF(G42=0, 0, SIGN(-G42)), IF(G42=0, SIGN(F42), (F42-G42)/ABS(G42))),5)</f>
        <v>2.5559999999999999E-2</v>
      </c>
    </row>
    <row r="43" spans="1:9" ht="15" thickBot="1" x14ac:dyDescent="0.4">
      <c r="A43" s="1"/>
      <c r="B43" s="1"/>
      <c r="C43" s="1"/>
      <c r="D43" s="1" t="s">
        <v>147</v>
      </c>
      <c r="E43" s="1"/>
      <c r="F43" s="7">
        <f>ROUND(SUM(F39:F42),5)</f>
        <v>5723</v>
      </c>
      <c r="G43" s="7">
        <f>ROUND(SUM(G39:G42),5)</f>
        <v>6237</v>
      </c>
      <c r="H43" s="7">
        <f>ROUND((F43-G43),5)</f>
        <v>-514</v>
      </c>
      <c r="I43" s="36">
        <f>ROUND(IF(F43=0, IF(G43=0, 0, SIGN(-G43)), IF(G43=0, SIGN(F43), (F43-G43)/ABS(G43))),5)</f>
        <v>-8.2409999999999997E-2</v>
      </c>
    </row>
    <row r="44" spans="1:9" ht="15" thickBot="1" x14ac:dyDescent="0.4">
      <c r="A44" s="1"/>
      <c r="B44" s="1"/>
      <c r="C44" s="1" t="s">
        <v>148</v>
      </c>
      <c r="D44" s="1"/>
      <c r="E44" s="1"/>
      <c r="F44" s="6">
        <f>ROUND(F32+F35+F38+F43,5)</f>
        <v>198779</v>
      </c>
      <c r="G44" s="6">
        <f>ROUND(G32+G35+G38+G43,5)</f>
        <v>219208</v>
      </c>
      <c r="H44" s="6">
        <f>ROUND((F44-G44),5)</f>
        <v>-20429</v>
      </c>
      <c r="I44" s="34">
        <f>ROUND(IF(F44=0, IF(G44=0, 0, SIGN(-G44)), IF(G44=0, SIGN(F44), (F44-G44)/ABS(G44))),5)</f>
        <v>-9.3189999999999995E-2</v>
      </c>
    </row>
    <row r="45" spans="1:9" ht="15" thickBot="1" x14ac:dyDescent="0.4">
      <c r="A45" s="1"/>
      <c r="B45" s="1"/>
      <c r="C45" s="13" t="s">
        <v>149</v>
      </c>
    </row>
    <row r="46" spans="1:9" ht="15" thickBot="1" x14ac:dyDescent="0.4">
      <c r="A46" s="1"/>
      <c r="B46" s="1"/>
      <c r="D46" s="13" t="s">
        <v>150</v>
      </c>
      <c r="F46" s="7">
        <v>29250</v>
      </c>
      <c r="G46" s="7">
        <v>34567</v>
      </c>
      <c r="H46" s="7">
        <f>ROUND((F46-G46),5)</f>
        <v>-5317</v>
      </c>
      <c r="I46" s="36">
        <f>ROUND(IF(F46=0, IF(G46=0, 0, SIGN(-G46)), IF(G46=0, SIGN(F46), (F46-G46)/ABS(G46))),5)</f>
        <v>-0.15382000000000001</v>
      </c>
    </row>
    <row r="47" spans="1:9" ht="30" customHeight="1" thickBot="1" x14ac:dyDescent="0.4">
      <c r="A47" s="1"/>
      <c r="B47" s="1"/>
      <c r="C47" s="13" t="s">
        <v>151</v>
      </c>
      <c r="F47" s="6">
        <f>F46</f>
        <v>29250</v>
      </c>
      <c r="G47" s="6">
        <f t="shared" ref="G47:I47" si="4">G46</f>
        <v>34567</v>
      </c>
      <c r="H47" s="6">
        <f t="shared" si="4"/>
        <v>-5317</v>
      </c>
      <c r="I47" s="34">
        <f t="shared" si="4"/>
        <v>-0.15382000000000001</v>
      </c>
    </row>
    <row r="48" spans="1:9" ht="30" customHeight="1" x14ac:dyDescent="0.35">
      <c r="A48" s="1"/>
      <c r="B48" s="1" t="s">
        <v>152</v>
      </c>
      <c r="C48" s="1"/>
      <c r="D48" s="1"/>
      <c r="E48" s="1"/>
      <c r="F48" s="3">
        <f>ROUND(F31+F44+F47,5)</f>
        <v>228029</v>
      </c>
      <c r="G48" s="3">
        <f>ROUND(G31+G44+G47,5)</f>
        <v>253775</v>
      </c>
      <c r="H48" s="3">
        <f t="shared" ref="H48" si="5">ROUND((F48-G48),5)</f>
        <v>-25746</v>
      </c>
      <c r="I48" s="32">
        <f t="shared" ref="I48" si="6">ROUND(IF(F48=0, IF(G48=0, 0, SIGN(-G48)), IF(G48=0, SIGN(F48), (F48-G48)/ABS(G48))),5)</f>
        <v>-0.10145</v>
      </c>
    </row>
    <row r="49" spans="1:9" ht="30" customHeight="1" x14ac:dyDescent="0.35">
      <c r="A49" s="1"/>
      <c r="B49" s="1" t="s">
        <v>153</v>
      </c>
      <c r="C49" s="1"/>
      <c r="D49" s="1"/>
      <c r="E49" s="1"/>
      <c r="F49" s="3"/>
      <c r="G49" s="3"/>
      <c r="H49" s="3"/>
      <c r="I49" s="32"/>
    </row>
    <row r="50" spans="1:9" x14ac:dyDescent="0.35">
      <c r="A50" s="1"/>
      <c r="B50" s="1"/>
      <c r="C50" s="1" t="s">
        <v>154</v>
      </c>
      <c r="D50" s="1"/>
      <c r="E50" s="1"/>
      <c r="F50" s="3"/>
      <c r="G50" s="3"/>
      <c r="H50" s="3">
        <f t="shared" ref="H50:H56" si="7">ROUND((F50-G50),5)</f>
        <v>0</v>
      </c>
      <c r="I50" s="32">
        <f t="shared" ref="I50:I56" si="8">ROUND(IF(F50=0, IF(G50=0, 0, SIGN(-G50)), IF(G50=0, SIGN(F50), (F50-G50)/ABS(G50))),5)</f>
        <v>0</v>
      </c>
    </row>
    <row r="51" spans="1:9" x14ac:dyDescent="0.35">
      <c r="A51" s="1"/>
      <c r="B51" s="1"/>
      <c r="C51" s="1" t="s">
        <v>155</v>
      </c>
      <c r="D51" s="1"/>
      <c r="E51" s="1"/>
      <c r="F51" s="24">
        <v>63294</v>
      </c>
      <c r="G51" s="24">
        <f>21895+0.4195</f>
        <v>21895.4195</v>
      </c>
      <c r="H51" s="3">
        <f t="shared" si="7"/>
        <v>41398.580499999996</v>
      </c>
      <c r="I51" s="32">
        <f t="shared" si="8"/>
        <v>1.8907400000000001</v>
      </c>
    </row>
    <row r="52" spans="1:9" x14ac:dyDescent="0.35">
      <c r="A52" s="1"/>
      <c r="B52" s="1"/>
      <c r="C52" s="1" t="s">
        <v>156</v>
      </c>
      <c r="D52" s="1"/>
      <c r="E52" s="1"/>
      <c r="F52" s="24">
        <v>-24000</v>
      </c>
      <c r="G52" s="24">
        <v>-24000</v>
      </c>
      <c r="H52" s="3">
        <f t="shared" si="7"/>
        <v>0</v>
      </c>
      <c r="I52" s="32">
        <f t="shared" si="8"/>
        <v>0</v>
      </c>
    </row>
    <row r="53" spans="1:9" x14ac:dyDescent="0.35">
      <c r="A53" s="1"/>
      <c r="B53" s="1"/>
      <c r="C53" s="1" t="s">
        <v>157</v>
      </c>
      <c r="D53" s="1"/>
      <c r="E53" s="1"/>
      <c r="F53" s="24">
        <v>57500</v>
      </c>
      <c r="G53" s="24">
        <v>57500</v>
      </c>
      <c r="H53" s="3">
        <f t="shared" si="7"/>
        <v>0</v>
      </c>
      <c r="I53" s="32">
        <f t="shared" si="8"/>
        <v>0</v>
      </c>
    </row>
    <row r="54" spans="1:9" ht="15" thickBot="1" x14ac:dyDescent="0.4">
      <c r="A54" s="1"/>
      <c r="B54" s="1"/>
      <c r="C54" s="1" t="s">
        <v>64</v>
      </c>
      <c r="D54" s="1"/>
      <c r="E54" s="1"/>
      <c r="F54" s="3">
        <f>'Profit and Loss Statement'!G92</f>
        <v>23811.182000000001</v>
      </c>
      <c r="G54" s="3">
        <f>'Profit and Loss Statement'!H92</f>
        <v>56337.580499999996</v>
      </c>
      <c r="H54" s="5">
        <f t="shared" si="7"/>
        <v>-32526.398499999999</v>
      </c>
      <c r="I54" s="35">
        <f t="shared" si="8"/>
        <v>-0.57735000000000003</v>
      </c>
    </row>
    <row r="55" spans="1:9" ht="15" thickBot="1" x14ac:dyDescent="0.4">
      <c r="A55" s="1"/>
      <c r="B55" s="1" t="s">
        <v>158</v>
      </c>
      <c r="C55" s="1"/>
      <c r="D55" s="1"/>
      <c r="E55" s="1"/>
      <c r="F55" s="7">
        <f>ROUND(SUM(F49:F54),5)</f>
        <v>120605.182</v>
      </c>
      <c r="G55" s="7">
        <f>ROUND(SUM(G49:G54),5)</f>
        <v>111733</v>
      </c>
      <c r="H55" s="7">
        <f t="shared" si="7"/>
        <v>8872.1820000000007</v>
      </c>
      <c r="I55" s="36">
        <f t="shared" si="8"/>
        <v>7.9409999999999994E-2</v>
      </c>
    </row>
    <row r="56" spans="1:9" s="9" customFormat="1" ht="30" customHeight="1" thickBot="1" x14ac:dyDescent="0.3">
      <c r="A56" s="1" t="s">
        <v>159</v>
      </c>
      <c r="B56" s="1"/>
      <c r="C56" s="1"/>
      <c r="D56" s="1"/>
      <c r="E56" s="1"/>
      <c r="F56" s="8">
        <f>ROUND(F30+F48+F55,5)</f>
        <v>348634.18199999997</v>
      </c>
      <c r="G56" s="8">
        <f>ROUND(G30+G48+G55,5)</f>
        <v>365508</v>
      </c>
      <c r="H56" s="8">
        <f t="shared" si="7"/>
        <v>-16873.817999999999</v>
      </c>
      <c r="I56" s="37">
        <f t="shared" si="8"/>
        <v>-4.6170000000000003E-2</v>
      </c>
    </row>
    <row r="57" spans="1:9" ht="15" thickTop="1" x14ac:dyDescent="0.35"/>
    <row r="58" spans="1:9" x14ac:dyDescent="0.35">
      <c r="F58" s="40"/>
      <c r="G58" s="41"/>
    </row>
  </sheetData>
  <pageMargins left="0.7" right="0.7" top="0.75" bottom="0.75" header="0.25" footer="0.3"/>
  <pageSetup orientation="portrait" verticalDpi="0" r:id="rId1"/>
  <headerFooter>
    <oddHeader>&amp;L&amp;"Arial,Bold"&amp;8 3:21 PM
&amp;"Arial,Bold"&amp;8 09/11/12
&amp;"Arial,Bold"&amp;8 Accrual Basis&amp;C&amp;"Arial,Bold"&amp;12 The Running Store, Inc.
&amp;"Arial,Bold"&amp;14 Balance Sheet Prev Year Comparison
&amp;"Arial,Bold"&amp;10 As of September 11, 2012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4</xdr:col>
                <xdr:colOff>76200</xdr:colOff>
                <xdr:row>4</xdr:row>
                <xdr:rowOff>38100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4</xdr:col>
                <xdr:colOff>76200</xdr:colOff>
                <xdr:row>4</xdr:row>
                <xdr:rowOff>38100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33"/>
  <sheetViews>
    <sheetView tabSelected="1" workbookViewId="0">
      <selection activeCell="C1" sqref="C1:C1048576"/>
    </sheetView>
  </sheetViews>
  <sheetFormatPr defaultRowHeight="14.5" x14ac:dyDescent="0.35"/>
  <cols>
    <col min="1" max="1" width="61" style="29" customWidth="1"/>
    <col min="2" max="2" width="20.6328125" style="47" customWidth="1"/>
    <col min="3" max="3" width="8.7265625" style="29" hidden="1" customWidth="1"/>
    <col min="4" max="16384" width="8.7265625" style="29"/>
  </cols>
  <sheetData>
    <row r="1" spans="1:3" ht="18" x14ac:dyDescent="0.4">
      <c r="A1" s="48" t="s">
        <v>87</v>
      </c>
      <c r="B1" s="49"/>
    </row>
    <row r="2" spans="1:3" x14ac:dyDescent="0.35">
      <c r="A2" s="50" t="s">
        <v>67</v>
      </c>
      <c r="B2" s="50"/>
    </row>
    <row r="3" spans="1:3" x14ac:dyDescent="0.35">
      <c r="A3" s="51" t="s">
        <v>88</v>
      </c>
      <c r="B3" s="49"/>
    </row>
    <row r="5" spans="1:3" x14ac:dyDescent="0.35">
      <c r="A5" s="30"/>
      <c r="B5" s="45" t="s">
        <v>89</v>
      </c>
    </row>
    <row r="6" spans="1:3" x14ac:dyDescent="0.35">
      <c r="A6" s="31" t="s">
        <v>90</v>
      </c>
      <c r="B6" s="44"/>
    </row>
    <row r="7" spans="1:3" x14ac:dyDescent="0.35">
      <c r="A7" s="31" t="s">
        <v>91</v>
      </c>
      <c r="B7" s="44">
        <f>'Profit and Loss Statement'!G92</f>
        <v>23811.182000000001</v>
      </c>
    </row>
    <row r="8" spans="1:3" x14ac:dyDescent="0.35">
      <c r="A8" s="31" t="s">
        <v>92</v>
      </c>
      <c r="B8" s="44"/>
    </row>
    <row r="9" spans="1:3" x14ac:dyDescent="0.35">
      <c r="A9" s="31" t="s">
        <v>93</v>
      </c>
      <c r="B9" s="44">
        <f>-'Balance Sheet'!H15</f>
        <v>857</v>
      </c>
      <c r="C9" s="43" t="s">
        <v>163</v>
      </c>
    </row>
    <row r="10" spans="1:3" x14ac:dyDescent="0.35">
      <c r="A10" s="31" t="s">
        <v>94</v>
      </c>
      <c r="B10" s="44">
        <f>-'Balance Sheet'!H18</f>
        <v>13919</v>
      </c>
      <c r="C10" s="43" t="s">
        <v>164</v>
      </c>
    </row>
    <row r="11" spans="1:3" x14ac:dyDescent="0.35">
      <c r="A11" s="31" t="s">
        <v>95</v>
      </c>
      <c r="B11" s="44">
        <f>'Balance Sheet'!H35</f>
        <v>-11729</v>
      </c>
      <c r="C11" s="43" t="s">
        <v>165</v>
      </c>
    </row>
    <row r="12" spans="1:3" x14ac:dyDescent="0.35">
      <c r="A12" s="31" t="s">
        <v>96</v>
      </c>
      <c r="B12" s="44">
        <f>'Balance Sheet'!H37</f>
        <v>-8186</v>
      </c>
      <c r="C12" s="43" t="s">
        <v>166</v>
      </c>
    </row>
    <row r="13" spans="1:3" x14ac:dyDescent="0.35">
      <c r="A13" s="42" t="s">
        <v>160</v>
      </c>
      <c r="B13" s="44">
        <f>'Balance Sheet'!H41</f>
        <v>381</v>
      </c>
    </row>
    <row r="14" spans="1:3" x14ac:dyDescent="0.35">
      <c r="A14" s="31" t="s">
        <v>97</v>
      </c>
      <c r="B14" s="44">
        <f>'Balance Sheet'!H40</f>
        <v>-1088</v>
      </c>
    </row>
    <row r="15" spans="1:3" x14ac:dyDescent="0.35">
      <c r="A15" s="31" t="s">
        <v>98</v>
      </c>
      <c r="B15" s="44">
        <f>'Balance Sheet'!H42</f>
        <v>193</v>
      </c>
    </row>
    <row r="16" spans="1:3" x14ac:dyDescent="0.35">
      <c r="A16" s="31" t="s">
        <v>99</v>
      </c>
      <c r="B16" s="46">
        <f>SUM(B9:B15)</f>
        <v>-5653</v>
      </c>
    </row>
    <row r="17" spans="1:3" x14ac:dyDescent="0.35">
      <c r="A17" s="31" t="s">
        <v>100</v>
      </c>
      <c r="B17" s="46">
        <f>(B7)+(B16)</f>
        <v>18158.182000000001</v>
      </c>
    </row>
    <row r="18" spans="1:3" x14ac:dyDescent="0.35">
      <c r="A18" s="31" t="s">
        <v>101</v>
      </c>
      <c r="B18" s="44"/>
    </row>
    <row r="19" spans="1:3" x14ac:dyDescent="0.35">
      <c r="A19" s="31" t="s">
        <v>102</v>
      </c>
      <c r="B19" s="44">
        <f>-'Balance Sheet'!H25</f>
        <v>-3070</v>
      </c>
    </row>
    <row r="20" spans="1:3" x14ac:dyDescent="0.35">
      <c r="A20" s="31" t="s">
        <v>103</v>
      </c>
      <c r="B20" s="44">
        <f>'Balance Sheet'!H26</f>
        <v>0</v>
      </c>
    </row>
    <row r="21" spans="1:3" x14ac:dyDescent="0.35">
      <c r="A21" s="42" t="s">
        <v>161</v>
      </c>
      <c r="B21" s="44">
        <v>0</v>
      </c>
      <c r="C21" s="43"/>
    </row>
    <row r="22" spans="1:3" x14ac:dyDescent="0.35">
      <c r="A22" s="31" t="s">
        <v>104</v>
      </c>
      <c r="B22" s="46">
        <f>((B19)+(B20))+(B21)</f>
        <v>-3070</v>
      </c>
    </row>
    <row r="23" spans="1:3" x14ac:dyDescent="0.35">
      <c r="A23" s="31" t="s">
        <v>105</v>
      </c>
      <c r="B23" s="44"/>
    </row>
    <row r="24" spans="1:3" x14ac:dyDescent="0.35">
      <c r="A24" s="42" t="s">
        <v>162</v>
      </c>
      <c r="B24" s="44">
        <f>'Balance Sheet'!H46</f>
        <v>-5317</v>
      </c>
    </row>
    <row r="25" spans="1:3" x14ac:dyDescent="0.35">
      <c r="A25" s="31" t="s">
        <v>106</v>
      </c>
      <c r="B25" s="44">
        <v>0</v>
      </c>
    </row>
    <row r="26" spans="1:3" x14ac:dyDescent="0.35">
      <c r="A26" s="31" t="s">
        <v>107</v>
      </c>
      <c r="B26" s="46">
        <f>SUM(B24:B25)</f>
        <v>-5317</v>
      </c>
    </row>
    <row r="27" spans="1:3" x14ac:dyDescent="0.35">
      <c r="A27" s="31" t="s">
        <v>108</v>
      </c>
      <c r="B27" s="46">
        <f>((B17)+(B22))+(B26)</f>
        <v>9771.1820000000007</v>
      </c>
    </row>
    <row r="28" spans="1:3" x14ac:dyDescent="0.35">
      <c r="A28" s="31" t="s">
        <v>109</v>
      </c>
      <c r="B28" s="44">
        <f>'Balance Sheet'!G12</f>
        <v>48805</v>
      </c>
    </row>
    <row r="29" spans="1:3" x14ac:dyDescent="0.35">
      <c r="A29" s="31" t="s">
        <v>110</v>
      </c>
      <c r="B29" s="46">
        <f>(B27)+(B28)</f>
        <v>58576.182000000001</v>
      </c>
    </row>
    <row r="30" spans="1:3" x14ac:dyDescent="0.35">
      <c r="A30" s="31"/>
      <c r="B30" s="44"/>
    </row>
    <row r="33" spans="1:2" x14ac:dyDescent="0.35">
      <c r="A33" s="52"/>
      <c r="B33" s="49"/>
    </row>
  </sheetData>
  <mergeCells count="4">
    <mergeCell ref="A1:B1"/>
    <mergeCell ref="A2:B2"/>
    <mergeCell ref="A3:B3"/>
    <mergeCell ref="A33:B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Profit and Loss Statement</vt:lpstr>
      <vt:lpstr>Balance Sheet</vt:lpstr>
      <vt:lpstr>Statement of Cash Flows</vt:lpstr>
      <vt:lpstr>'Balance Sheet'!Print_Titles</vt:lpstr>
      <vt:lpstr>'Profit and Loss Statement'!Print_Titles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Running Store</dc:creator>
  <cp:lastModifiedBy>DavidDurkin</cp:lastModifiedBy>
  <dcterms:created xsi:type="dcterms:W3CDTF">2015-08-25T23:54:06Z</dcterms:created>
  <dcterms:modified xsi:type="dcterms:W3CDTF">2016-11-30T03:13:19Z</dcterms:modified>
</cp:coreProperties>
</file>